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0365" windowHeight="9525" activeTab="0"/>
  </bookViews>
  <sheets>
    <sheet name="Re-Recount" sheetId="1" r:id="rId1"/>
    <sheet name="Daly Factor" sheetId="2" r:id="rId2"/>
    <sheet name="First Recount" sheetId="3" r:id="rId3"/>
  </sheets>
  <definedNames>
    <definedName name="_xlnm.Print_Area" localSheetId="1">'Daly Factor'!$A$1:$M$58</definedName>
    <definedName name="_xlnm.Print_Area" localSheetId="0">'Re-Recount'!$A$1:$K$81</definedName>
  </definedNames>
  <calcPr fullCalcOnLoad="1"/>
</workbook>
</file>

<file path=xl/sharedStrings.xml><?xml version="1.0" encoding="utf-8"?>
<sst xmlns="http://schemas.openxmlformats.org/spreadsheetml/2006/main" count="437" uniqueCount="170">
  <si>
    <t>Broward</t>
  </si>
  <si>
    <t>Gore</t>
  </si>
  <si>
    <t>Bush</t>
  </si>
  <si>
    <t>Precincts</t>
  </si>
  <si>
    <t>Uncounted</t>
  </si>
  <si>
    <t>Votes</t>
  </si>
  <si>
    <t>(Machine)</t>
  </si>
  <si>
    <t>for Gore</t>
  </si>
  <si>
    <t>for Bush</t>
  </si>
  <si>
    <t>Margin</t>
  </si>
  <si>
    <t>Florida by:</t>
  </si>
  <si>
    <t>In</t>
  </si>
  <si>
    <t>Disputed</t>
  </si>
  <si>
    <t>of the state total</t>
  </si>
  <si>
    <t>Multiple of</t>
  </si>
  <si>
    <t>Net Gain</t>
  </si>
  <si>
    <t>for winner</t>
  </si>
  <si>
    <t>Machine Bump</t>
  </si>
  <si>
    <t>Machine Recount Yields "Machine Bump" =</t>
  </si>
  <si>
    <t>Reviewed</t>
  </si>
  <si>
    <t>G</t>
  </si>
  <si>
    <t>B</t>
  </si>
  <si>
    <t>n/a</t>
  </si>
  <si>
    <t>printed:</t>
  </si>
  <si>
    <t>United States</t>
  </si>
  <si>
    <t>Clay</t>
  </si>
  <si>
    <t>Nassau</t>
  </si>
  <si>
    <t xml:space="preserve"> Handcount + Disputes</t>
  </si>
  <si>
    <t>Leon</t>
  </si>
  <si>
    <t>Bay</t>
  </si>
  <si>
    <t>Brevard</t>
  </si>
  <si>
    <t>Okaloosa</t>
  </si>
  <si>
    <t>Duval</t>
  </si>
  <si>
    <t>Collier</t>
  </si>
  <si>
    <t>Escambia</t>
  </si>
  <si>
    <t>Santa Rosa</t>
  </si>
  <si>
    <t>Military / Overseas Absentee Ballots w/o a Postmark</t>
  </si>
  <si>
    <t>Nassau reverts to 7-Nov (claiming 200 cards were missed in the machine recount)</t>
  </si>
  <si>
    <t xml:space="preserve">Broward </t>
  </si>
  <si>
    <t xml:space="preserve">Palm Beach </t>
  </si>
  <si>
    <t>Includes 500 absentee ballots found in the final hours of the hand recount</t>
  </si>
  <si>
    <t>Miami/Dade has cancelled hand recounts (incl. 6 from sample count)</t>
  </si>
  <si>
    <t>Hand Recount yields the "Daly Factor" =</t>
  </si>
  <si>
    <t>Pasco</t>
  </si>
  <si>
    <t>Manatee</t>
  </si>
  <si>
    <t>Polk</t>
  </si>
  <si>
    <t>Citrus</t>
  </si>
  <si>
    <t xml:space="preserve">Bay </t>
  </si>
  <si>
    <t xml:space="preserve">Brevard </t>
  </si>
  <si>
    <t xml:space="preserve">Clay </t>
  </si>
  <si>
    <t xml:space="preserve">Citrus </t>
  </si>
  <si>
    <t xml:space="preserve">Collier </t>
  </si>
  <si>
    <t xml:space="preserve">Duval </t>
  </si>
  <si>
    <t xml:space="preserve">Escambia </t>
  </si>
  <si>
    <t xml:space="preserve">Leon </t>
  </si>
  <si>
    <t xml:space="preserve">Okaloosa </t>
  </si>
  <si>
    <t xml:space="preserve">Polk </t>
  </si>
  <si>
    <t xml:space="preserve">Manatee </t>
  </si>
  <si>
    <t xml:space="preserve">Pasco </t>
  </si>
  <si>
    <t xml:space="preserve">Santa Rosa </t>
  </si>
  <si>
    <t>Miami / Dade</t>
  </si>
  <si>
    <t xml:space="preserve">Miami / Dade </t>
  </si>
  <si>
    <t>Palm Beach</t>
  </si>
  <si>
    <t>Missed the FL Supreme Court Mandated Deadline of 5pm / 26-Nov-2000</t>
  </si>
  <si>
    <t>Dubya Wins</t>
  </si>
  <si>
    <t>Florida (certified)</t>
  </si>
  <si>
    <t>U.S. Popular Vote</t>
  </si>
  <si>
    <t>Electoral Totals</t>
  </si>
  <si>
    <t>Pinellas</t>
  </si>
  <si>
    <t xml:space="preserve">Pinellas </t>
  </si>
  <si>
    <t>Lead</t>
  </si>
  <si>
    <t>First recount</t>
  </si>
  <si>
    <t>Undervotes</t>
  </si>
  <si>
    <t>Alachua:</t>
  </si>
  <si>
    <t xml:space="preserve">- </t>
  </si>
  <si>
    <t>Baker:</t>
  </si>
  <si>
    <t>Bay:</t>
  </si>
  <si>
    <t>Bradford:</t>
  </si>
  <si>
    <t>Brevard:</t>
  </si>
  <si>
    <t>Broward:</t>
  </si>
  <si>
    <t>Calhoun:</t>
  </si>
  <si>
    <t>Charlotte:</t>
  </si>
  <si>
    <t>Citrus:</t>
  </si>
  <si>
    <t>Clay:</t>
  </si>
  <si>
    <t>Collier:</t>
  </si>
  <si>
    <t>Columbia:</t>
  </si>
  <si>
    <t>Desoto:</t>
  </si>
  <si>
    <t>Dixie:</t>
  </si>
  <si>
    <t>Duval:</t>
  </si>
  <si>
    <t>Escambia:</t>
  </si>
  <si>
    <t>Flagler:</t>
  </si>
  <si>
    <t>Franklin:</t>
  </si>
  <si>
    <t>Gadsden:</t>
  </si>
  <si>
    <t>Gilchrist:</t>
  </si>
  <si>
    <t>Glades:</t>
  </si>
  <si>
    <t>Gulf:</t>
  </si>
  <si>
    <t>Hamilton:</t>
  </si>
  <si>
    <t>Hardee:</t>
  </si>
  <si>
    <t>Hendry:</t>
  </si>
  <si>
    <t>Hernando:</t>
  </si>
  <si>
    <t>Highlands:</t>
  </si>
  <si>
    <t>Hillsborough:</t>
  </si>
  <si>
    <t>Holmes:</t>
  </si>
  <si>
    <t>Indian River:</t>
  </si>
  <si>
    <t>Jackson:</t>
  </si>
  <si>
    <t>Jefferson:</t>
  </si>
  <si>
    <t>Lafayette:</t>
  </si>
  <si>
    <t>Lake:</t>
  </si>
  <si>
    <t>Lee:</t>
  </si>
  <si>
    <t>Leon:</t>
  </si>
  <si>
    <t>Levy:</t>
  </si>
  <si>
    <t>Liberty:</t>
  </si>
  <si>
    <t>Madison:</t>
  </si>
  <si>
    <t>Manatee:</t>
  </si>
  <si>
    <t>Marion:</t>
  </si>
  <si>
    <t>Martin:</t>
  </si>
  <si>
    <t>Monroe:</t>
  </si>
  <si>
    <t>Nassau:</t>
  </si>
  <si>
    <t>Okaloosa:</t>
  </si>
  <si>
    <t>Okeechobee:</t>
  </si>
  <si>
    <t>Orange:</t>
  </si>
  <si>
    <t>Osceola:</t>
  </si>
  <si>
    <t>Palm Beach:</t>
  </si>
  <si>
    <t>Pasco:</t>
  </si>
  <si>
    <t>Pinellas:</t>
  </si>
  <si>
    <t>Polk:</t>
  </si>
  <si>
    <t>Putnam:</t>
  </si>
  <si>
    <t>Santa Rosa:</t>
  </si>
  <si>
    <t>Sarasota:</t>
  </si>
  <si>
    <t>Seminole:</t>
  </si>
  <si>
    <t>St. Johns:</t>
  </si>
  <si>
    <t>St. Lucie:</t>
  </si>
  <si>
    <t>Sumter:</t>
  </si>
  <si>
    <t>Suwannee:</t>
  </si>
  <si>
    <t>Taylor:</t>
  </si>
  <si>
    <t>Union:</t>
  </si>
  <si>
    <t>Volusia:</t>
  </si>
  <si>
    <t>Wakulla:</t>
  </si>
  <si>
    <t>Walton:</t>
  </si>
  <si>
    <t>Washington:</t>
  </si>
  <si>
    <t>Counties</t>
  </si>
  <si>
    <t>States</t>
  </si>
  <si>
    <t>-</t>
  </si>
  <si>
    <r>
      <t xml:space="preserve">TOTALS </t>
    </r>
    <r>
      <rPr>
        <b/>
        <sz val="10"/>
        <color indexed="10"/>
        <rFont val="Courier New"/>
        <family val="3"/>
      </rPr>
      <t xml:space="preserve">   </t>
    </r>
  </si>
  <si>
    <t>change</t>
  </si>
  <si>
    <t>Sq. Miles</t>
  </si>
  <si>
    <t>County Pop.</t>
  </si>
  <si>
    <t>Certified</t>
  </si>
  <si>
    <t>Dade:</t>
  </si>
  <si>
    <t>Gore Projection</t>
  </si>
  <si>
    <t>Bush Projection</t>
  </si>
  <si>
    <t>Bush ReRecount</t>
  </si>
  <si>
    <t>Gore ReRecount</t>
  </si>
  <si>
    <t>FL Factor</t>
  </si>
  <si>
    <t>Projected</t>
  </si>
  <si>
    <t>Actual</t>
  </si>
  <si>
    <t>Voting Tech</t>
  </si>
  <si>
    <t>Lever</t>
  </si>
  <si>
    <t>Paper</t>
  </si>
  <si>
    <t>Punch</t>
  </si>
  <si>
    <t>DataVote</t>
  </si>
  <si>
    <t>Optical</t>
  </si>
  <si>
    <t>red = punch card ballot technology</t>
  </si>
  <si>
    <t>Leaked</t>
  </si>
  <si>
    <t>Florida</t>
  </si>
  <si>
    <t>U.S.</t>
  </si>
  <si>
    <t>Electoral</t>
  </si>
  <si>
    <t>Popular</t>
  </si>
  <si>
    <t>Negative Numbers for Bush</t>
  </si>
  <si>
    <t>Positive Numbers for Gore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</si>
</sst>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00"/>
    <numFmt numFmtId="169" formatCode="0.0000"/>
    <numFmt numFmtId="170" formatCode="0.000"/>
    <numFmt numFmtId="171" formatCode="0.0"/>
    <numFmt numFmtId="172" formatCode="0.0000000"/>
    <numFmt numFmtId="173" formatCode="0.00000000"/>
    <numFmt numFmtId="174" formatCode="0.0%"/>
    <numFmt numFmtId="175" formatCode="0.000%"/>
    <numFmt numFmtId="176" formatCode="0.0000%"/>
    <numFmt numFmtId="177" formatCode="0_);[Red]\(0\)"/>
    <numFmt numFmtId="178" formatCode="0_);\(0\)"/>
    <numFmt numFmtId="179" formatCode="0.000000000000_);[Red]\(0.000000000000\)"/>
    <numFmt numFmtId="180" formatCode="0;[Red]0"/>
    <numFmt numFmtId="181" formatCode="0.0_);\(0.0\)"/>
    <numFmt numFmtId="182" formatCode="0.00_);\(0.00\)"/>
    <numFmt numFmtId="183" formatCode="m/d/yy\ h:mm\ AM/PM"/>
    <numFmt numFmtId="184" formatCode="mmmm\-yy"/>
    <numFmt numFmtId="185" formatCode="d\-mmm\-yyyy"/>
    <numFmt numFmtId="186" formatCode="m/d/yyyy"/>
    <numFmt numFmtId="187" formatCode="mmmm\ d\,\ yyyy"/>
  </numFmts>
  <fonts count="42">
    <font>
      <sz val="10"/>
      <name val="Arial"/>
      <family val="0"/>
    </font>
    <font>
      <sz val="10"/>
      <name val="Courier New"/>
      <family val="3"/>
    </font>
    <font>
      <b/>
      <u val="single"/>
      <sz val="8"/>
      <name val="Courier New"/>
      <family val="3"/>
    </font>
    <font>
      <sz val="8"/>
      <name val="Courier New"/>
      <family val="3"/>
    </font>
    <font>
      <sz val="7"/>
      <name val="Courier New"/>
      <family val="3"/>
    </font>
    <font>
      <b/>
      <sz val="8"/>
      <name val="Courier New"/>
      <family val="3"/>
    </font>
    <font>
      <i/>
      <sz val="10"/>
      <name val="Courier New"/>
      <family val="3"/>
    </font>
    <font>
      <b/>
      <i/>
      <sz val="8"/>
      <name val="Courier New"/>
      <family val="3"/>
    </font>
    <font>
      <b/>
      <i/>
      <sz val="10"/>
      <name val="Courier New"/>
      <family val="3"/>
    </font>
    <font>
      <b/>
      <sz val="12"/>
      <color indexed="10"/>
      <name val="Courier New"/>
      <family val="3"/>
    </font>
    <font>
      <b/>
      <sz val="12"/>
      <color indexed="12"/>
      <name val="Courier New"/>
      <family val="3"/>
    </font>
    <font>
      <sz val="10"/>
      <color indexed="12"/>
      <name val="Courier New"/>
      <family val="3"/>
    </font>
    <font>
      <b/>
      <i/>
      <sz val="8"/>
      <color indexed="55"/>
      <name val="Courier New"/>
      <family val="3"/>
    </font>
    <font>
      <b/>
      <i/>
      <sz val="10"/>
      <color indexed="55"/>
      <name val="Courier New"/>
      <family val="3"/>
    </font>
    <font>
      <i/>
      <sz val="7"/>
      <color indexed="55"/>
      <name val="Courier New"/>
      <family val="3"/>
    </font>
    <font>
      <sz val="6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Courier New"/>
      <family val="3"/>
    </font>
    <font>
      <i/>
      <sz val="6"/>
      <name val="Courier New"/>
      <family val="3"/>
    </font>
    <font>
      <b/>
      <i/>
      <sz val="8"/>
      <color indexed="8"/>
      <name val="Courier New"/>
      <family val="3"/>
    </font>
    <font>
      <b/>
      <i/>
      <sz val="7"/>
      <name val="Courier New"/>
      <family val="3"/>
    </font>
    <font>
      <b/>
      <i/>
      <u val="single"/>
      <sz val="7"/>
      <name val="Courier New"/>
      <family val="3"/>
    </font>
    <font>
      <b/>
      <i/>
      <sz val="8"/>
      <name val="Wingdings 3"/>
      <family val="1"/>
    </font>
    <font>
      <b/>
      <u val="single"/>
      <sz val="12"/>
      <color indexed="10"/>
      <name val="Courier New"/>
      <family val="3"/>
    </font>
    <font>
      <sz val="10"/>
      <color indexed="10"/>
      <name val="Courier New"/>
      <family val="3"/>
    </font>
    <font>
      <b/>
      <i/>
      <sz val="10"/>
      <color indexed="10"/>
      <name val="Courier New"/>
      <family val="3"/>
    </font>
    <font>
      <i/>
      <sz val="8"/>
      <color indexed="10"/>
      <name val="Courier New"/>
      <family val="3"/>
    </font>
    <font>
      <b/>
      <u val="single"/>
      <sz val="12"/>
      <color indexed="12"/>
      <name val="Courier New"/>
      <family val="3"/>
    </font>
    <font>
      <sz val="8"/>
      <color indexed="12"/>
      <name val="Courier New"/>
      <family val="3"/>
    </font>
    <font>
      <sz val="8"/>
      <color indexed="10"/>
      <name val="Courier New"/>
      <family val="3"/>
    </font>
    <font>
      <b/>
      <sz val="10"/>
      <color indexed="10"/>
      <name val="Courier New"/>
      <family val="3"/>
    </font>
    <font>
      <b/>
      <sz val="10"/>
      <color indexed="12"/>
      <name val="Courier New"/>
      <family val="3"/>
    </font>
    <font>
      <sz val="10"/>
      <color indexed="55"/>
      <name val="Courier New"/>
      <family val="3"/>
    </font>
    <font>
      <i/>
      <sz val="8"/>
      <color indexed="55"/>
      <name val="Courier New"/>
      <family val="3"/>
    </font>
    <font>
      <i/>
      <sz val="8"/>
      <name val="Courier New"/>
      <family val="3"/>
    </font>
    <font>
      <b/>
      <sz val="10"/>
      <name val="Courier New"/>
      <family val="3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b/>
      <sz val="12"/>
      <name val="Courier New"/>
      <family val="3"/>
    </font>
    <font>
      <b/>
      <sz val="8"/>
      <color indexed="10"/>
      <name val="Courier New"/>
      <family val="3"/>
    </font>
    <font>
      <sz val="8"/>
      <color indexed="8"/>
      <name val="Courier New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0" xfId="15" applyNumberFormat="1" applyFont="1" applyFill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2" fillId="3" borderId="2" xfId="15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right"/>
    </xf>
    <xf numFmtId="1" fontId="3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" fontId="1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1" fontId="1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/>
    </xf>
    <xf numFmtId="0" fontId="7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/>
    </xf>
    <xf numFmtId="0" fontId="2" fillId="3" borderId="5" xfId="15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2" fillId="3" borderId="1" xfId="15" applyNumberFormat="1" applyFont="1" applyFill="1" applyBorder="1" applyAlignment="1">
      <alignment horizontal="right"/>
    </xf>
    <xf numFmtId="1" fontId="5" fillId="2" borderId="0" xfId="0" applyNumberFormat="1" applyFont="1" applyFill="1" applyAlignment="1">
      <alignment horizontal="right"/>
    </xf>
    <xf numFmtId="185" fontId="4" fillId="2" borderId="0" xfId="0" applyNumberFormat="1" applyFont="1" applyFill="1" applyAlignment="1">
      <alignment horizontal="right"/>
    </xf>
    <xf numFmtId="18" fontId="4" fillId="2" borderId="0" xfId="0" applyNumberFormat="1" applyFont="1" applyFill="1" applyAlignment="1">
      <alignment horizontal="left"/>
    </xf>
    <xf numFmtId="0" fontId="5" fillId="3" borderId="5" xfId="0" applyFont="1" applyFill="1" applyBorder="1" applyAlignment="1">
      <alignment horizontal="center"/>
    </xf>
    <xf numFmtId="178" fontId="13" fillId="4" borderId="4" xfId="0" applyNumberFormat="1" applyFont="1" applyFill="1" applyBorder="1" applyAlignment="1">
      <alignment horizontal="center"/>
    </xf>
    <xf numFmtId="178" fontId="13" fillId="4" borderId="6" xfId="0" applyNumberFormat="1" applyFont="1" applyFill="1" applyBorder="1" applyAlignment="1">
      <alignment horizontal="center"/>
    </xf>
    <xf numFmtId="178" fontId="13" fillId="4" borderId="7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right"/>
    </xf>
    <xf numFmtId="0" fontId="2" fillId="3" borderId="8" xfId="15" applyNumberFormat="1" applyFont="1" applyFill="1" applyBorder="1" applyAlignment="1">
      <alignment horizontal="right"/>
    </xf>
    <xf numFmtId="0" fontId="2" fillId="3" borderId="2" xfId="15" applyNumberFormat="1" applyFont="1" applyFill="1" applyBorder="1" applyAlignment="1">
      <alignment horizontal="right"/>
    </xf>
    <xf numFmtId="178" fontId="5" fillId="3" borderId="0" xfId="0" applyNumberFormat="1" applyFont="1" applyFill="1" applyBorder="1" applyAlignment="1">
      <alignment horizontal="right"/>
    </xf>
    <xf numFmtId="178" fontId="5" fillId="3" borderId="0" xfId="0" applyNumberFormat="1" applyFont="1" applyFill="1" applyBorder="1" applyAlignment="1">
      <alignment horizontal="center"/>
    </xf>
    <xf numFmtId="178" fontId="12" fillId="3" borderId="4" xfId="0" applyNumberFormat="1" applyFont="1" applyFill="1" applyBorder="1" applyAlignment="1">
      <alignment horizontal="center"/>
    </xf>
    <xf numFmtId="178" fontId="5" fillId="3" borderId="2" xfId="0" applyNumberFormat="1" applyFont="1" applyFill="1" applyBorder="1" applyAlignment="1">
      <alignment horizontal="center"/>
    </xf>
    <xf numFmtId="171" fontId="6" fillId="2" borderId="0" xfId="0" applyNumberFormat="1" applyFont="1" applyFill="1" applyAlignment="1">
      <alignment horizontal="center"/>
    </xf>
    <xf numFmtId="171" fontId="1" fillId="2" borderId="0" xfId="0" applyNumberFormat="1" applyFont="1" applyFill="1" applyAlignment="1">
      <alignment horizontal="center"/>
    </xf>
    <xf numFmtId="171" fontId="1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1" fontId="4" fillId="2" borderId="0" xfId="21" applyNumberFormat="1" applyFont="1" applyFill="1" applyAlignment="1">
      <alignment horizontal="center"/>
    </xf>
    <xf numFmtId="1" fontId="15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left"/>
    </xf>
    <xf numFmtId="0" fontId="5" fillId="3" borderId="3" xfId="0" applyNumberFormat="1" applyFont="1" applyFill="1" applyBorder="1" applyAlignment="1">
      <alignment horizontal="right"/>
    </xf>
    <xf numFmtId="0" fontId="5" fillId="3" borderId="6" xfId="0" applyNumberFormat="1" applyFont="1" applyFill="1" applyBorder="1" applyAlignment="1">
      <alignment horizontal="right"/>
    </xf>
    <xf numFmtId="0" fontId="12" fillId="3" borderId="6" xfId="0" applyNumberFormat="1" applyFont="1" applyFill="1" applyBorder="1" applyAlignment="1">
      <alignment horizontal="right"/>
    </xf>
    <xf numFmtId="0" fontId="5" fillId="2" borderId="0" xfId="0" applyNumberFormat="1" applyFont="1" applyFill="1" applyAlignment="1">
      <alignment horizontal="center"/>
    </xf>
    <xf numFmtId="0" fontId="5" fillId="3" borderId="1" xfId="0" applyNumberFormat="1" applyFont="1" applyFill="1" applyBorder="1" applyAlignment="1">
      <alignment horizontal="left"/>
    </xf>
    <xf numFmtId="0" fontId="2" fillId="3" borderId="2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18" fillId="3" borderId="3" xfId="0" applyNumberFormat="1" applyFont="1" applyFill="1" applyBorder="1" applyAlignment="1">
      <alignment horizontal="right"/>
    </xf>
    <xf numFmtId="0" fontId="2" fillId="3" borderId="2" xfId="0" applyNumberFormat="1" applyFont="1" applyFill="1" applyBorder="1" applyAlignment="1">
      <alignment horizontal="right"/>
    </xf>
    <xf numFmtId="0" fontId="5" fillId="3" borderId="2" xfId="0" applyNumberFormat="1" applyFont="1" applyFill="1" applyBorder="1" applyAlignment="1">
      <alignment horizontal="left"/>
    </xf>
    <xf numFmtId="0" fontId="5" fillId="3" borderId="5" xfId="0" applyNumberFormat="1" applyFont="1" applyFill="1" applyBorder="1" applyAlignment="1">
      <alignment horizontal="left"/>
    </xf>
    <xf numFmtId="9" fontId="3" fillId="2" borderId="0" xfId="21" applyNumberFormat="1" applyFont="1" applyFill="1" applyAlignment="1">
      <alignment horizontal="right" vertical="top"/>
    </xf>
    <xf numFmtId="0" fontId="4" fillId="2" borderId="0" xfId="0" applyNumberFormat="1" applyFont="1" applyFill="1" applyAlignment="1">
      <alignment horizontal="right"/>
    </xf>
    <xf numFmtId="0" fontId="19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left"/>
    </xf>
    <xf numFmtId="178" fontId="19" fillId="2" borderId="0" xfId="0" applyNumberFormat="1" applyFont="1" applyFill="1" applyAlignment="1">
      <alignment horizontal="center"/>
    </xf>
    <xf numFmtId="178" fontId="5" fillId="3" borderId="3" xfId="0" applyNumberFormat="1" applyFont="1" applyFill="1" applyBorder="1" applyAlignment="1">
      <alignment horizontal="right"/>
    </xf>
    <xf numFmtId="1" fontId="21" fillId="2" borderId="0" xfId="0" applyNumberFormat="1" applyFont="1" applyFill="1" applyAlignment="1">
      <alignment horizontal="left"/>
    </xf>
    <xf numFmtId="1" fontId="22" fillId="2" borderId="0" xfId="0" applyNumberFormat="1" applyFont="1" applyFill="1" applyAlignment="1">
      <alignment horizontal="left" vertical="top"/>
    </xf>
    <xf numFmtId="1" fontId="23" fillId="2" borderId="0" xfId="0" applyNumberFormat="1" applyFont="1" applyFill="1" applyAlignment="1">
      <alignment horizontal="center" vertical="top"/>
    </xf>
    <xf numFmtId="0" fontId="21" fillId="2" borderId="0" xfId="0" applyNumberFormat="1" applyFont="1" applyFill="1" applyAlignment="1">
      <alignment horizontal="left"/>
    </xf>
    <xf numFmtId="0" fontId="21" fillId="2" borderId="0" xfId="0" applyNumberFormat="1" applyFont="1" applyFill="1" applyAlignment="1">
      <alignment horizontal="right"/>
    </xf>
    <xf numFmtId="0" fontId="21" fillId="2" borderId="0" xfId="15" applyNumberFormat="1" applyFont="1" applyFill="1" applyBorder="1" applyAlignment="1">
      <alignment horizontal="left"/>
    </xf>
    <xf numFmtId="0" fontId="22" fillId="2" borderId="0" xfId="15" applyNumberFormat="1" applyFont="1" applyFill="1" applyBorder="1" applyAlignment="1">
      <alignment horizontal="left" vertical="top"/>
    </xf>
    <xf numFmtId="0" fontId="22" fillId="2" borderId="3" xfId="15" applyNumberFormat="1" applyFont="1" applyFill="1" applyBorder="1" applyAlignment="1">
      <alignment horizontal="left" vertical="top"/>
    </xf>
    <xf numFmtId="1" fontId="21" fillId="2" borderId="0" xfId="0" applyNumberFormat="1" applyFont="1" applyFill="1" applyAlignment="1">
      <alignment horizontal="right"/>
    </xf>
    <xf numFmtId="0" fontId="9" fillId="2" borderId="4" xfId="0" applyFont="1" applyFill="1" applyBorder="1" applyAlignment="1">
      <alignment/>
    </xf>
    <xf numFmtId="174" fontId="11" fillId="2" borderId="0" xfId="21" applyNumberFormat="1" applyFont="1" applyFill="1" applyBorder="1" applyAlignment="1">
      <alignment horizontal="right"/>
    </xf>
    <xf numFmtId="174" fontId="25" fillId="2" borderId="0" xfId="21" applyNumberFormat="1" applyFont="1" applyFill="1" applyBorder="1" applyAlignment="1">
      <alignment horizontal="right"/>
    </xf>
    <xf numFmtId="174" fontId="25" fillId="2" borderId="4" xfId="21" applyNumberFormat="1" applyFont="1" applyFill="1" applyBorder="1" applyAlignment="1">
      <alignment horizontal="right"/>
    </xf>
    <xf numFmtId="0" fontId="10" fillId="2" borderId="6" xfId="0" applyNumberFormat="1" applyFont="1" applyFill="1" applyBorder="1" applyAlignment="1">
      <alignment/>
    </xf>
    <xf numFmtId="0" fontId="25" fillId="2" borderId="0" xfId="0" applyNumberFormat="1" applyFont="1" applyFill="1" applyBorder="1" applyAlignment="1">
      <alignment horizontal="right"/>
    </xf>
    <xf numFmtId="0" fontId="25" fillId="2" borderId="10" xfId="15" applyNumberFormat="1" applyFont="1" applyFill="1" applyBorder="1" applyAlignment="1">
      <alignment horizontal="right" wrapText="1"/>
    </xf>
    <xf numFmtId="178" fontId="25" fillId="2" borderId="0" xfId="21" applyNumberFormat="1" applyFont="1" applyFill="1" applyBorder="1" applyAlignment="1">
      <alignment horizontal="left"/>
    </xf>
    <xf numFmtId="178" fontId="25" fillId="2" borderId="11" xfId="15" applyNumberFormat="1" applyFont="1" applyFill="1" applyBorder="1" applyAlignment="1">
      <alignment horizontal="left" wrapText="1"/>
    </xf>
    <xf numFmtId="0" fontId="25" fillId="2" borderId="4" xfId="0" applyNumberFormat="1" applyFont="1" applyFill="1" applyBorder="1" applyAlignment="1">
      <alignment horizontal="right"/>
    </xf>
    <xf numFmtId="0" fontId="25" fillId="2" borderId="12" xfId="15" applyNumberFormat="1" applyFont="1" applyFill="1" applyBorder="1" applyAlignment="1">
      <alignment horizontal="right" wrapText="1"/>
    </xf>
    <xf numFmtId="178" fontId="25" fillId="2" borderId="4" xfId="21" applyNumberFormat="1" applyFont="1" applyFill="1" applyBorder="1" applyAlignment="1">
      <alignment horizontal="left"/>
    </xf>
    <xf numFmtId="178" fontId="25" fillId="2" borderId="7" xfId="15" applyNumberFormat="1" applyFont="1" applyFill="1" applyBorder="1" applyAlignment="1">
      <alignment horizontal="left" wrapText="1"/>
    </xf>
    <xf numFmtId="0" fontId="11" fillId="2" borderId="0" xfId="0" applyNumberFormat="1" applyFont="1" applyFill="1" applyBorder="1" applyAlignment="1">
      <alignment horizontal="right"/>
    </xf>
    <xf numFmtId="0" fontId="11" fillId="2" borderId="10" xfId="15" applyNumberFormat="1" applyFont="1" applyFill="1" applyBorder="1" applyAlignment="1">
      <alignment horizontal="right" wrapText="1"/>
    </xf>
    <xf numFmtId="178" fontId="11" fillId="2" borderId="0" xfId="21" applyNumberFormat="1" applyFont="1" applyFill="1" applyBorder="1" applyAlignment="1">
      <alignment horizontal="left"/>
    </xf>
    <xf numFmtId="178" fontId="11" fillId="2" borderId="11" xfId="15" applyNumberFormat="1" applyFont="1" applyFill="1" applyBorder="1" applyAlignment="1">
      <alignment horizontal="left" wrapText="1"/>
    </xf>
    <xf numFmtId="178" fontId="29" fillId="2" borderId="0" xfId="0" applyNumberFormat="1" applyFont="1" applyFill="1" applyAlignment="1">
      <alignment horizontal="left"/>
    </xf>
    <xf numFmtId="178" fontId="11" fillId="2" borderId="10" xfId="15" applyNumberFormat="1" applyFont="1" applyFill="1" applyBorder="1" applyAlignment="1">
      <alignment horizontal="right" wrapText="1"/>
    </xf>
    <xf numFmtId="178" fontId="30" fillId="2" borderId="0" xfId="0" applyNumberFormat="1" applyFont="1" applyFill="1" applyAlignment="1">
      <alignment horizontal="left"/>
    </xf>
    <xf numFmtId="178" fontId="31" fillId="4" borderId="0" xfId="0" applyNumberFormat="1" applyFont="1" applyFill="1" applyBorder="1" applyAlignment="1">
      <alignment horizontal="center"/>
    </xf>
    <xf numFmtId="178" fontId="26" fillId="4" borderId="4" xfId="0" applyNumberFormat="1" applyFont="1" applyFill="1" applyBorder="1" applyAlignment="1">
      <alignment horizontal="center"/>
    </xf>
    <xf numFmtId="178" fontId="31" fillId="4" borderId="3" xfId="0" applyNumberFormat="1" applyFont="1" applyFill="1" applyBorder="1" applyAlignment="1">
      <alignment horizontal="center"/>
    </xf>
    <xf numFmtId="178" fontId="32" fillId="4" borderId="0" xfId="0" applyNumberFormat="1" applyFont="1" applyFill="1" applyBorder="1" applyAlignment="1">
      <alignment horizontal="center"/>
    </xf>
    <xf numFmtId="178" fontId="18" fillId="2" borderId="0" xfId="0" applyNumberFormat="1" applyFont="1" applyFill="1" applyAlignment="1">
      <alignment horizontal="center"/>
    </xf>
    <xf numFmtId="1" fontId="30" fillId="2" borderId="0" xfId="0" applyNumberFormat="1" applyFont="1" applyFill="1" applyAlignment="1">
      <alignment horizontal="left"/>
    </xf>
    <xf numFmtId="178" fontId="31" fillId="4" borderId="11" xfId="0" applyNumberFormat="1" applyFont="1" applyFill="1" applyBorder="1" applyAlignment="1">
      <alignment horizontal="center"/>
    </xf>
    <xf numFmtId="178" fontId="32" fillId="4" borderId="3" xfId="0" applyNumberFormat="1" applyFont="1" applyFill="1" applyBorder="1" applyAlignment="1">
      <alignment horizontal="center"/>
    </xf>
    <xf numFmtId="178" fontId="32" fillId="4" borderId="11" xfId="0" applyNumberFormat="1" applyFont="1" applyFill="1" applyBorder="1" applyAlignment="1">
      <alignment horizontal="center"/>
    </xf>
    <xf numFmtId="1" fontId="29" fillId="2" borderId="0" xfId="0" applyNumberFormat="1" applyFont="1" applyFill="1" applyAlignment="1">
      <alignment horizontal="left"/>
    </xf>
    <xf numFmtId="9" fontId="18" fillId="2" borderId="0" xfId="21" applyNumberFormat="1" applyFont="1" applyFill="1" applyAlignment="1">
      <alignment horizontal="center"/>
    </xf>
    <xf numFmtId="0" fontId="18" fillId="2" borderId="0" xfId="0" applyNumberFormat="1" applyFont="1" applyFill="1" applyAlignment="1">
      <alignment horizontal="center"/>
    </xf>
    <xf numFmtId="178" fontId="33" fillId="2" borderId="0" xfId="21" applyNumberFormat="1" applyFont="1" applyFill="1" applyBorder="1" applyAlignment="1">
      <alignment horizontal="left"/>
    </xf>
    <xf numFmtId="178" fontId="33" fillId="2" borderId="11" xfId="15" applyNumberFormat="1" applyFont="1" applyFill="1" applyBorder="1" applyAlignment="1">
      <alignment horizontal="left" wrapText="1"/>
    </xf>
    <xf numFmtId="178" fontId="20" fillId="3" borderId="4" xfId="0" applyNumberFormat="1" applyFont="1" applyFill="1" applyBorder="1" applyAlignment="1">
      <alignment horizontal="right"/>
    </xf>
    <xf numFmtId="0" fontId="5" fillId="3" borderId="0" xfId="0" applyNumberFormat="1" applyFont="1" applyFill="1" applyBorder="1" applyAlignment="1">
      <alignment horizontal="right"/>
    </xf>
    <xf numFmtId="0" fontId="18" fillId="3" borderId="0" xfId="0" applyNumberFormat="1" applyFont="1" applyFill="1" applyBorder="1" applyAlignment="1">
      <alignment horizontal="right"/>
    </xf>
    <xf numFmtId="1" fontId="27" fillId="2" borderId="0" xfId="0" applyNumberFormat="1" applyFont="1" applyFill="1" applyAlignment="1">
      <alignment horizontal="left"/>
    </xf>
    <xf numFmtId="178" fontId="13" fillId="4" borderId="0" xfId="0" applyNumberFormat="1" applyFont="1" applyFill="1" applyBorder="1" applyAlignment="1">
      <alignment horizontal="center"/>
    </xf>
    <xf numFmtId="178" fontId="13" fillId="4" borderId="3" xfId="0" applyNumberFormat="1" applyFont="1" applyFill="1" applyBorder="1" applyAlignment="1">
      <alignment horizontal="center"/>
    </xf>
    <xf numFmtId="178" fontId="13" fillId="4" borderId="11" xfId="0" applyNumberFormat="1" applyFont="1" applyFill="1" applyBorder="1" applyAlignment="1">
      <alignment horizontal="center"/>
    </xf>
    <xf numFmtId="1" fontId="34" fillId="2" borderId="0" xfId="0" applyNumberFormat="1" applyFont="1" applyFill="1" applyAlignment="1">
      <alignment horizontal="left"/>
    </xf>
    <xf numFmtId="0" fontId="12" fillId="3" borderId="3" xfId="0" applyFont="1" applyFill="1" applyBorder="1" applyAlignment="1">
      <alignment horizontal="right"/>
    </xf>
    <xf numFmtId="178" fontId="12" fillId="3" borderId="0" xfId="0" applyNumberFormat="1" applyFont="1" applyFill="1" applyBorder="1" applyAlignment="1">
      <alignment horizontal="right"/>
    </xf>
    <xf numFmtId="0" fontId="28" fillId="2" borderId="0" xfId="0" applyNumberFormat="1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5" xfId="0" applyFont="1" applyFill="1" applyBorder="1" applyAlignment="1">
      <alignment horizontal="center"/>
    </xf>
    <xf numFmtId="0" fontId="2" fillId="3" borderId="3" xfId="15" applyNumberFormat="1" applyFont="1" applyFill="1" applyBorder="1" applyAlignment="1">
      <alignment horizontal="right"/>
    </xf>
    <xf numFmtId="1" fontId="1" fillId="2" borderId="11" xfId="0" applyNumberFormat="1" applyFont="1" applyFill="1" applyBorder="1" applyAlignment="1">
      <alignment horizontal="center" vertical="center" wrapText="1"/>
    </xf>
    <xf numFmtId="0" fontId="2" fillId="3" borderId="6" xfId="15" applyNumberFormat="1" applyFont="1" applyFill="1" applyBorder="1" applyAlignment="1">
      <alignment horizontal="right"/>
    </xf>
    <xf numFmtId="0" fontId="5" fillId="3" borderId="4" xfId="0" applyNumberFormat="1" applyFont="1" applyFill="1" applyBorder="1" applyAlignment="1">
      <alignment horizontal="right"/>
    </xf>
    <xf numFmtId="1" fontId="1" fillId="2" borderId="7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178" fontId="10" fillId="2" borderId="7" xfId="0" applyNumberFormat="1" applyFont="1" applyFill="1" applyBorder="1" applyAlignment="1">
      <alignment horizontal="left"/>
    </xf>
    <xf numFmtId="1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right" vertical="top"/>
    </xf>
    <xf numFmtId="0" fontId="18" fillId="2" borderId="0" xfId="0" applyNumberFormat="1" applyFont="1" applyFill="1" applyAlignment="1">
      <alignment horizontal="right" vertical="top"/>
    </xf>
    <xf numFmtId="174" fontId="18" fillId="2" borderId="0" xfId="0" applyNumberFormat="1" applyFont="1" applyFill="1" applyAlignment="1">
      <alignment horizontal="right" vertical="top"/>
    </xf>
    <xf numFmtId="1" fontId="18" fillId="2" borderId="0" xfId="0" applyNumberFormat="1" applyFont="1" applyFill="1" applyAlignment="1">
      <alignment horizontal="right" vertical="top"/>
    </xf>
    <xf numFmtId="178" fontId="18" fillId="2" borderId="0" xfId="0" applyNumberFormat="1" applyFont="1" applyFill="1" applyAlignment="1">
      <alignment horizontal="left" vertical="top"/>
    </xf>
    <xf numFmtId="0" fontId="35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171" fontId="35" fillId="2" borderId="0" xfId="0" applyNumberFormat="1" applyFont="1" applyFill="1" applyAlignment="1">
      <alignment horizontal="center" vertical="top"/>
    </xf>
    <xf numFmtId="0" fontId="3" fillId="2" borderId="0" xfId="15" applyNumberFormat="1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9" fontId="5" fillId="2" borderId="0" xfId="21" applyNumberFormat="1" applyFont="1" applyFill="1" applyAlignment="1">
      <alignment horizontal="right" vertical="top"/>
    </xf>
    <xf numFmtId="0" fontId="5" fillId="2" borderId="0" xfId="0" applyNumberFormat="1" applyFont="1" applyFill="1" applyAlignment="1">
      <alignment horizontal="left" vertical="top"/>
    </xf>
    <xf numFmtId="178" fontId="31" fillId="2" borderId="0" xfId="0" applyNumberFormat="1" applyFont="1" applyFill="1" applyBorder="1" applyAlignment="1">
      <alignment horizontal="center"/>
    </xf>
    <xf numFmtId="178" fontId="31" fillId="2" borderId="13" xfId="0" applyNumberFormat="1" applyFont="1" applyFill="1" applyBorder="1" applyAlignment="1">
      <alignment horizontal="center"/>
    </xf>
    <xf numFmtId="178" fontId="13" fillId="2" borderId="0" xfId="0" applyNumberFormat="1" applyFont="1" applyFill="1" applyBorder="1" applyAlignment="1">
      <alignment horizontal="center"/>
    </xf>
    <xf numFmtId="178" fontId="13" fillId="2" borderId="3" xfId="0" applyNumberFormat="1" applyFont="1" applyFill="1" applyBorder="1" applyAlignment="1">
      <alignment horizontal="center"/>
    </xf>
    <xf numFmtId="178" fontId="13" fillId="2" borderId="9" xfId="0" applyNumberFormat="1" applyFont="1" applyFill="1" applyBorder="1" applyAlignment="1">
      <alignment horizontal="center"/>
    </xf>
    <xf numFmtId="178" fontId="32" fillId="2" borderId="0" xfId="0" applyNumberFormat="1" applyFont="1" applyFill="1" applyBorder="1" applyAlignment="1">
      <alignment horizontal="center"/>
    </xf>
    <xf numFmtId="178" fontId="32" fillId="2" borderId="3" xfId="0" applyNumberFormat="1" applyFont="1" applyFill="1" applyBorder="1" applyAlignment="1">
      <alignment horizontal="center"/>
    </xf>
    <xf numFmtId="178" fontId="32" fillId="2" borderId="9" xfId="0" applyNumberFormat="1" applyFont="1" applyFill="1" applyBorder="1" applyAlignment="1">
      <alignment horizontal="center"/>
    </xf>
    <xf numFmtId="178" fontId="13" fillId="2" borderId="4" xfId="0" applyNumberFormat="1" applyFont="1" applyFill="1" applyBorder="1" applyAlignment="1">
      <alignment horizontal="center"/>
    </xf>
    <xf numFmtId="178" fontId="13" fillId="2" borderId="6" xfId="0" applyNumberFormat="1" applyFont="1" applyFill="1" applyBorder="1" applyAlignment="1">
      <alignment horizontal="center"/>
    </xf>
    <xf numFmtId="178" fontId="13" fillId="2" borderId="14" xfId="0" applyNumberFormat="1" applyFont="1" applyFill="1" applyBorder="1" applyAlignment="1">
      <alignment horizontal="center"/>
    </xf>
    <xf numFmtId="0" fontId="36" fillId="2" borderId="0" xfId="0" applyFont="1" applyFill="1" applyAlignment="1">
      <alignment/>
    </xf>
    <xf numFmtId="0" fontId="1" fillId="2" borderId="0" xfId="0" applyFont="1" applyFill="1" applyAlignment="1">
      <alignment/>
    </xf>
    <xf numFmtId="174" fontId="1" fillId="2" borderId="0" xfId="21" applyNumberFormat="1" applyFont="1" applyFill="1" applyBorder="1" applyAlignment="1">
      <alignment horizontal="center"/>
    </xf>
    <xf numFmtId="3" fontId="38" fillId="2" borderId="10" xfId="0" applyNumberFormat="1" applyFont="1" applyFill="1" applyBorder="1" applyAlignment="1">
      <alignment horizontal="center"/>
    </xf>
    <xf numFmtId="0" fontId="38" fillId="2" borderId="15" xfId="0" applyFont="1" applyFill="1" applyBorder="1" applyAlignment="1">
      <alignment horizontal="center"/>
    </xf>
    <xf numFmtId="3" fontId="38" fillId="2" borderId="0" xfId="0" applyNumberFormat="1" applyFont="1" applyFill="1" applyBorder="1" applyAlignment="1">
      <alignment horizontal="center"/>
    </xf>
    <xf numFmtId="0" fontId="38" fillId="2" borderId="11" xfId="0" applyFont="1" applyFill="1" applyBorder="1" applyAlignment="1">
      <alignment horizontal="center"/>
    </xf>
    <xf numFmtId="3" fontId="38" fillId="2" borderId="15" xfId="0" applyNumberFormat="1" applyFont="1" applyFill="1" applyBorder="1" applyAlignment="1">
      <alignment horizontal="center"/>
    </xf>
    <xf numFmtId="0" fontId="38" fillId="2" borderId="10" xfId="0" applyFont="1" applyFill="1" applyBorder="1" applyAlignment="1">
      <alignment horizontal="center"/>
    </xf>
    <xf numFmtId="174" fontId="1" fillId="2" borderId="4" xfId="21" applyNumberFormat="1" applyFont="1" applyFill="1" applyBorder="1" applyAlignment="1">
      <alignment horizontal="center"/>
    </xf>
    <xf numFmtId="3" fontId="38" fillId="2" borderId="12" xfId="0" applyNumberFormat="1" applyFont="1" applyFill="1" applyBorder="1" applyAlignment="1">
      <alignment horizontal="center"/>
    </xf>
    <xf numFmtId="0" fontId="38" fillId="2" borderId="16" xfId="0" applyFont="1" applyFill="1" applyBorder="1" applyAlignment="1">
      <alignment horizontal="center"/>
    </xf>
    <xf numFmtId="3" fontId="38" fillId="2" borderId="4" xfId="0" applyNumberFormat="1" applyFont="1" applyFill="1" applyBorder="1" applyAlignment="1">
      <alignment horizontal="center"/>
    </xf>
    <xf numFmtId="0" fontId="38" fillId="2" borderId="7" xfId="0" applyFont="1" applyFill="1" applyBorder="1" applyAlignment="1">
      <alignment horizontal="center"/>
    </xf>
    <xf numFmtId="0" fontId="37" fillId="2" borderId="0" xfId="0" applyFont="1" applyFill="1" applyAlignment="1">
      <alignment horizontal="left"/>
    </xf>
    <xf numFmtId="174" fontId="36" fillId="2" borderId="0" xfId="21" applyNumberFormat="1" applyFont="1" applyFill="1" applyAlignment="1">
      <alignment horizontal="center"/>
    </xf>
    <xf numFmtId="3" fontId="37" fillId="2" borderId="0" xfId="0" applyNumberFormat="1" applyFont="1" applyFill="1" applyAlignment="1">
      <alignment horizontal="center"/>
    </xf>
    <xf numFmtId="0" fontId="37" fillId="2" borderId="0" xfId="0" applyFont="1" applyFill="1" applyAlignment="1">
      <alignment horizontal="center"/>
    </xf>
    <xf numFmtId="0" fontId="18" fillId="3" borderId="1" xfId="0" applyFont="1" applyFill="1" applyBorder="1" applyAlignment="1">
      <alignment/>
    </xf>
    <xf numFmtId="0" fontId="18" fillId="3" borderId="2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174" fontId="1" fillId="2" borderId="0" xfId="21" applyNumberFormat="1" applyFont="1" applyFill="1" applyBorder="1" applyAlignment="1">
      <alignment horizontal="center" vertical="top"/>
    </xf>
    <xf numFmtId="178" fontId="1" fillId="2" borderId="11" xfId="0" applyNumberFormat="1" applyFont="1" applyFill="1" applyBorder="1" applyAlignment="1">
      <alignment horizontal="center" vertical="top"/>
    </xf>
    <xf numFmtId="174" fontId="1" fillId="2" borderId="4" xfId="21" applyNumberFormat="1" applyFont="1" applyFill="1" applyBorder="1" applyAlignment="1">
      <alignment horizontal="center" vertical="top"/>
    </xf>
    <xf numFmtId="178" fontId="1" fillId="2" borderId="7" xfId="0" applyNumberFormat="1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right" vertical="top"/>
    </xf>
    <xf numFmtId="0" fontId="5" fillId="3" borderId="6" xfId="0" applyFont="1" applyFill="1" applyBorder="1" applyAlignment="1">
      <alignment horizontal="right" vertical="top"/>
    </xf>
    <xf numFmtId="0" fontId="5" fillId="3" borderId="1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right" wrapText="1"/>
    </xf>
    <xf numFmtId="185" fontId="5" fillId="3" borderId="3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center" vertical="top"/>
    </xf>
    <xf numFmtId="3" fontId="1" fillId="2" borderId="0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178" fontId="1" fillId="2" borderId="3" xfId="0" applyNumberFormat="1" applyFont="1" applyFill="1" applyBorder="1" applyAlignment="1">
      <alignment horizontal="center" vertical="top"/>
    </xf>
    <xf numFmtId="178" fontId="1" fillId="2" borderId="6" xfId="0" applyNumberFormat="1" applyFont="1" applyFill="1" applyBorder="1" applyAlignment="1">
      <alignment horizontal="center" vertical="top"/>
    </xf>
    <xf numFmtId="1" fontId="1" fillId="2" borderId="0" xfId="0" applyNumberFormat="1" applyFont="1" applyFill="1" applyBorder="1" applyAlignment="1">
      <alignment horizontal="center" vertical="center"/>
    </xf>
    <xf numFmtId="1" fontId="39" fillId="2" borderId="0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right" wrapText="1"/>
    </xf>
    <xf numFmtId="0" fontId="5" fillId="3" borderId="18" xfId="0" applyFont="1" applyFill="1" applyBorder="1" applyAlignment="1">
      <alignment horizontal="center"/>
    </xf>
    <xf numFmtId="1" fontId="39" fillId="2" borderId="19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 wrapText="1"/>
    </xf>
    <xf numFmtId="178" fontId="1" fillId="5" borderId="11" xfId="0" applyNumberFormat="1" applyFont="1" applyFill="1" applyBorder="1" applyAlignment="1">
      <alignment horizontal="center" vertical="top"/>
    </xf>
    <xf numFmtId="178" fontId="1" fillId="5" borderId="7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wrapText="1"/>
    </xf>
    <xf numFmtId="0" fontId="40" fillId="3" borderId="3" xfId="0" applyFont="1" applyFill="1" applyBorder="1" applyAlignment="1">
      <alignment horizontal="right" vertical="top"/>
    </xf>
    <xf numFmtId="0" fontId="25" fillId="2" borderId="0" xfId="0" applyFont="1" applyFill="1" applyBorder="1" applyAlignment="1">
      <alignment horizontal="center" vertical="top"/>
    </xf>
    <xf numFmtId="174" fontId="25" fillId="2" borderId="0" xfId="21" applyNumberFormat="1" applyFont="1" applyFill="1" applyBorder="1" applyAlignment="1">
      <alignment horizontal="center" vertical="top"/>
    </xf>
    <xf numFmtId="178" fontId="25" fillId="2" borderId="3" xfId="0" applyNumberFormat="1" applyFont="1" applyFill="1" applyBorder="1" applyAlignment="1">
      <alignment horizontal="center" vertical="top"/>
    </xf>
    <xf numFmtId="178" fontId="25" fillId="5" borderId="11" xfId="0" applyNumberFormat="1" applyFont="1" applyFill="1" applyBorder="1" applyAlignment="1">
      <alignment horizontal="center" vertical="top"/>
    </xf>
    <xf numFmtId="178" fontId="25" fillId="2" borderId="11" xfId="0" applyNumberFormat="1" applyFont="1" applyFill="1" applyBorder="1" applyAlignment="1">
      <alignment horizontal="center" vertical="top"/>
    </xf>
    <xf numFmtId="0" fontId="25" fillId="2" borderId="0" xfId="0" applyFont="1" applyFill="1" applyAlignment="1">
      <alignment/>
    </xf>
    <xf numFmtId="3" fontId="25" fillId="2" borderId="0" xfId="0" applyNumberFormat="1" applyFont="1" applyFill="1" applyBorder="1" applyAlignment="1">
      <alignment horizontal="center" vertical="top"/>
    </xf>
    <xf numFmtId="0" fontId="41" fillId="2" borderId="0" xfId="0" applyFont="1" applyFill="1" applyAlignment="1">
      <alignment horizontal="left"/>
    </xf>
    <xf numFmtId="0" fontId="41" fillId="2" borderId="0" xfId="0" applyFont="1" applyFill="1" applyAlignment="1">
      <alignment horizontal="left" wrapText="1"/>
    </xf>
    <xf numFmtId="178" fontId="41" fillId="2" borderId="0" xfId="0" applyNumberFormat="1" applyFont="1" applyFill="1" applyAlignment="1">
      <alignment horizontal="left"/>
    </xf>
    <xf numFmtId="185" fontId="4" fillId="2" borderId="0" xfId="0" applyNumberFormat="1" applyFont="1" applyFill="1" applyAlignment="1">
      <alignment horizontal="center"/>
    </xf>
    <xf numFmtId="185" fontId="5" fillId="3" borderId="6" xfId="0" applyNumberFormat="1" applyFont="1" applyFill="1" applyBorder="1" applyAlignment="1">
      <alignment horizontal="right" wrapText="1"/>
    </xf>
    <xf numFmtId="1" fontId="1" fillId="2" borderId="4" xfId="0" applyNumberFormat="1" applyFont="1" applyFill="1" applyBorder="1" applyAlignment="1">
      <alignment horizontal="center" vertical="center"/>
    </xf>
    <xf numFmtId="1" fontId="1" fillId="2" borderId="2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178" fontId="32" fillId="2" borderId="1" xfId="0" applyNumberFormat="1" applyFont="1" applyFill="1" applyBorder="1" applyAlignment="1">
      <alignment/>
    </xf>
    <xf numFmtId="0" fontId="32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178" fontId="5" fillId="3" borderId="3" xfId="0" applyNumberFormat="1" applyFont="1" applyFill="1" applyBorder="1" applyAlignment="1">
      <alignment horizontal="center" wrapText="1"/>
    </xf>
    <xf numFmtId="178" fontId="5" fillId="3" borderId="11" xfId="0" applyNumberFormat="1" applyFont="1" applyFill="1" applyBorder="1" applyAlignment="1">
      <alignment horizontal="center" wrapText="1"/>
    </xf>
    <xf numFmtId="0" fontId="40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2" borderId="22" xfId="0" applyFont="1" applyFill="1" applyBorder="1" applyAlignment="1">
      <alignment/>
    </xf>
    <xf numFmtId="178" fontId="32" fillId="2" borderId="23" xfId="0" applyNumberFormat="1" applyFont="1" applyFill="1" applyBorder="1" applyAlignment="1">
      <alignment horizontal="right"/>
    </xf>
    <xf numFmtId="0" fontId="32" fillId="2" borderId="23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78" fontId="40" fillId="2" borderId="0" xfId="0" applyNumberFormat="1" applyFont="1" applyFill="1" applyAlignment="1">
      <alignment horizontal="left" vertical="top"/>
    </xf>
    <xf numFmtId="178" fontId="1" fillId="2" borderId="11" xfId="0" applyNumberFormat="1" applyFont="1" applyFill="1" applyBorder="1" applyAlignment="1">
      <alignment horizontal="center" vertical="center"/>
    </xf>
    <xf numFmtId="178" fontId="1" fillId="2" borderId="7" xfId="0" applyNumberFormat="1" applyFont="1" applyFill="1" applyBorder="1" applyAlignment="1">
      <alignment horizontal="center" vertical="center"/>
    </xf>
    <xf numFmtId="178" fontId="39" fillId="2" borderId="1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11</xdr:row>
      <xdr:rowOff>0</xdr:rowOff>
    </xdr:from>
    <xdr:to>
      <xdr:col>8</xdr:col>
      <xdr:colOff>428625</xdr:colOff>
      <xdr:row>78</xdr:row>
      <xdr:rowOff>161925</xdr:rowOff>
    </xdr:to>
    <xdr:sp>
      <xdr:nvSpPr>
        <xdr:cNvPr id="1" name="AutoShape 1"/>
        <xdr:cNvSpPr>
          <a:spLocks/>
        </xdr:cNvSpPr>
      </xdr:nvSpPr>
      <xdr:spPr>
        <a:xfrm rot="17386644">
          <a:off x="1905000" y="1781175"/>
          <a:ext cx="5095875" cy="11010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6350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C0C0C0">
                  <a:alpha val="50000"/>
                </a:srgbClr>
              </a:solidFill>
              <a:latin typeface="Arial Black"/>
              <a:cs typeface="Arial Black"/>
            </a:rPr>
            <a:t>U.S Supreme Court Stay
!! Stop All Counting 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1"/>
  <sheetViews>
    <sheetView tabSelected="1" zoomScale="85" zoomScaleNormal="85" workbookViewId="0" topLeftCell="A1">
      <selection activeCell="A1" sqref="A1"/>
    </sheetView>
  </sheetViews>
  <sheetFormatPr defaultColWidth="9.140625" defaultRowHeight="12.75" customHeight="1"/>
  <cols>
    <col min="1" max="1" width="6.57421875" style="164" customWidth="1"/>
    <col min="2" max="2" width="14.8515625" style="3" customWidth="1"/>
    <col min="3" max="7" width="12.8515625" style="2" customWidth="1"/>
    <col min="8" max="10" width="12.8515625" style="164" customWidth="1"/>
    <col min="11" max="11" width="9.421875" style="222" customWidth="1"/>
    <col min="12" max="16384" width="9.140625" style="164" customWidth="1"/>
  </cols>
  <sheetData>
    <row r="1" spans="2:7" ht="12.75" customHeight="1" thickBot="1">
      <c r="B1" s="229" t="s">
        <v>164</v>
      </c>
      <c r="G1" s="229" t="s">
        <v>165</v>
      </c>
    </row>
    <row r="2" spans="2:10" ht="12.75" customHeight="1">
      <c r="B2" s="195"/>
      <c r="C2" s="192" t="s">
        <v>1</v>
      </c>
      <c r="D2" s="206" t="s">
        <v>2</v>
      </c>
      <c r="E2" s="30" t="s">
        <v>70</v>
      </c>
      <c r="F2" s="245">
        <f>SUM(K13:K79)</f>
        <v>-1687.721176145251</v>
      </c>
      <c r="G2" s="195"/>
      <c r="H2" s="192" t="s">
        <v>1</v>
      </c>
      <c r="I2" s="206" t="s">
        <v>2</v>
      </c>
      <c r="J2" s="30" t="s">
        <v>70</v>
      </c>
    </row>
    <row r="3" spans="2:10" ht="12.75" customHeight="1">
      <c r="B3" s="197" t="s">
        <v>155</v>
      </c>
      <c r="C3" s="204">
        <f>SUM(G13:G79)</f>
        <v>0</v>
      </c>
      <c r="D3" s="207">
        <f>-SUM(I14:I80)</f>
        <v>0</v>
      </c>
      <c r="E3" s="248">
        <f>C3-D3</f>
        <v>0</v>
      </c>
      <c r="G3" s="196" t="s">
        <v>167</v>
      </c>
      <c r="H3" s="19">
        <v>50133912</v>
      </c>
      <c r="I3" s="209">
        <v>49805216</v>
      </c>
      <c r="J3" s="246">
        <f aca="true" t="shared" si="0" ref="J3:J8">H3-I3</f>
        <v>328696</v>
      </c>
    </row>
    <row r="4" spans="2:10" ht="12.75" customHeight="1">
      <c r="B4" s="197" t="s">
        <v>163</v>
      </c>
      <c r="C4" s="203">
        <v>58</v>
      </c>
      <c r="D4" s="208">
        <v>0</v>
      </c>
      <c r="E4" s="246">
        <f>C4-D4</f>
        <v>58</v>
      </c>
      <c r="G4" s="196" t="s">
        <v>166</v>
      </c>
      <c r="H4" s="19">
        <v>267</v>
      </c>
      <c r="I4" s="209">
        <v>271</v>
      </c>
      <c r="J4" s="246">
        <f t="shared" si="0"/>
        <v>-4</v>
      </c>
    </row>
    <row r="5" spans="2:10" ht="12.75" customHeight="1">
      <c r="B5" s="197" t="s">
        <v>154</v>
      </c>
      <c r="C5" s="203">
        <f>SUM(F13:F79)</f>
        <v>974.4095912675155</v>
      </c>
      <c r="D5" s="208">
        <f>-SUM(H13:H79)</f>
        <v>3674.3345478639603</v>
      </c>
      <c r="E5" s="246">
        <f>C5-D5</f>
        <v>-2699.9249565964446</v>
      </c>
      <c r="G5" s="196" t="s">
        <v>141</v>
      </c>
      <c r="H5" s="19">
        <v>19</v>
      </c>
      <c r="I5" s="209">
        <v>29</v>
      </c>
      <c r="J5" s="246">
        <f t="shared" si="0"/>
        <v>-10</v>
      </c>
    </row>
    <row r="6" spans="2:10" ht="12.75" customHeight="1">
      <c r="B6" s="197">
        <v>36868</v>
      </c>
      <c r="C6" s="203">
        <v>2912636</v>
      </c>
      <c r="D6" s="208">
        <v>2912790</v>
      </c>
      <c r="E6" s="246">
        <f>C6-D6</f>
        <v>-154</v>
      </c>
      <c r="G6" s="196" t="s">
        <v>140</v>
      </c>
      <c r="H6" s="19">
        <v>677</v>
      </c>
      <c r="I6" s="209">
        <v>2434</v>
      </c>
      <c r="J6" s="246">
        <f t="shared" si="0"/>
        <v>-1757</v>
      </c>
    </row>
    <row r="7" spans="2:10" ht="12.75" customHeight="1">
      <c r="B7" s="196" t="s">
        <v>147</v>
      </c>
      <c r="C7" s="203">
        <v>2912253</v>
      </c>
      <c r="D7" s="208">
        <v>2912790</v>
      </c>
      <c r="E7" s="246">
        <f>C7-D7</f>
        <v>-537</v>
      </c>
      <c r="G7" s="196" t="s">
        <v>146</v>
      </c>
      <c r="H7" s="19">
        <v>127000000</v>
      </c>
      <c r="I7" s="209">
        <v>143000000</v>
      </c>
      <c r="J7" s="246">
        <f t="shared" si="0"/>
        <v>-16000000</v>
      </c>
    </row>
    <row r="8" spans="2:10" ht="12.75" customHeight="1" thickBot="1">
      <c r="B8" s="196" t="s">
        <v>71</v>
      </c>
      <c r="C8" s="203">
        <v>2910942</v>
      </c>
      <c r="D8" s="208">
        <v>2911872</v>
      </c>
      <c r="E8" s="246">
        <f>C8-D8</f>
        <v>-930</v>
      </c>
      <c r="G8" s="205" t="s">
        <v>145</v>
      </c>
      <c r="H8" s="12">
        <v>580000</v>
      </c>
      <c r="I8" s="210">
        <v>2427000</v>
      </c>
      <c r="J8" s="247">
        <f t="shared" si="0"/>
        <v>-1847000</v>
      </c>
    </row>
    <row r="9" spans="2:5" ht="12.75" customHeight="1" thickBot="1">
      <c r="B9" s="226">
        <v>36837</v>
      </c>
      <c r="C9" s="227">
        <v>2907451</v>
      </c>
      <c r="D9" s="228">
        <v>2909176</v>
      </c>
      <c r="E9" s="247">
        <f>C9-D9</f>
        <v>-1725</v>
      </c>
    </row>
    <row r="10" spans="7:10" ht="12.75" customHeight="1" thickBot="1">
      <c r="G10" s="230">
        <v>1</v>
      </c>
      <c r="H10" s="231" t="s">
        <v>169</v>
      </c>
      <c r="I10" s="232"/>
      <c r="J10" s="233"/>
    </row>
    <row r="11" spans="2:10" ht="12.75" customHeight="1">
      <c r="B11" s="238" t="s">
        <v>162</v>
      </c>
      <c r="C11" s="239"/>
      <c r="D11" s="239"/>
      <c r="E11" s="240"/>
      <c r="F11" s="240"/>
      <c r="G11" s="241">
        <v>-1</v>
      </c>
      <c r="H11" s="242" t="s">
        <v>168</v>
      </c>
      <c r="I11" s="243"/>
      <c r="J11" s="244"/>
    </row>
    <row r="12" spans="2:11" s="213" customFormat="1" ht="12.75" customHeight="1">
      <c r="B12" s="234"/>
      <c r="C12" s="235" t="s">
        <v>156</v>
      </c>
      <c r="D12" s="235" t="s">
        <v>72</v>
      </c>
      <c r="E12" s="235" t="s">
        <v>9</v>
      </c>
      <c r="F12" s="236" t="s">
        <v>149</v>
      </c>
      <c r="G12" s="237" t="s">
        <v>152</v>
      </c>
      <c r="H12" s="236" t="s">
        <v>150</v>
      </c>
      <c r="I12" s="237" t="s">
        <v>151</v>
      </c>
      <c r="J12" s="237" t="s">
        <v>153</v>
      </c>
      <c r="K12" s="223"/>
    </row>
    <row r="13" spans="2:11" ht="12.75" customHeight="1">
      <c r="B13" s="193" t="s">
        <v>73</v>
      </c>
      <c r="C13" s="198" t="s">
        <v>160</v>
      </c>
      <c r="D13" s="198">
        <v>225</v>
      </c>
      <c r="E13" s="188">
        <f>LOOKUP(B13,'First Recount'!$B$3:$C$69)</f>
        <v>0.162485432129056</v>
      </c>
      <c r="F13" s="201">
        <f>IF(D13="-",0,IF(E13&lt;0,0,E13*D13))</f>
        <v>36.5592222290376</v>
      </c>
      <c r="G13" s="211">
        <v>0</v>
      </c>
      <c r="H13" s="201">
        <f>IF(D13="-",0,IF(E13&gt;0,0,E13*D13))</f>
        <v>0</v>
      </c>
      <c r="I13" s="211">
        <v>0</v>
      </c>
      <c r="J13" s="189">
        <v>0</v>
      </c>
      <c r="K13" s="224">
        <f aca="true" t="shared" si="1" ref="K13:K18">IF(C13="Punch",F13+H13,"")</f>
      </c>
    </row>
    <row r="14" spans="2:11" ht="12.75" customHeight="1">
      <c r="B14" s="193" t="s">
        <v>75</v>
      </c>
      <c r="C14" s="198" t="s">
        <v>160</v>
      </c>
      <c r="D14" s="198">
        <v>94</v>
      </c>
      <c r="E14" s="188">
        <f>LOOKUP(B14,'First Recount'!$B$3:$C$69)</f>
        <v>-0.4022241659377733</v>
      </c>
      <c r="F14" s="201">
        <f aca="true" t="shared" si="2" ref="F14:F77">IF(D14="-",0,IF(E14&lt;0,0,E14*D14))</f>
        <v>0</v>
      </c>
      <c r="G14" s="211">
        <v>0</v>
      </c>
      <c r="H14" s="201">
        <f aca="true" t="shared" si="3" ref="H14:H77">IF(D14="-",0,IF(E14&gt;0,0,E14*D14))</f>
        <v>-37.809071598150695</v>
      </c>
      <c r="I14" s="211">
        <v>0</v>
      </c>
      <c r="J14" s="189">
        <v>0</v>
      </c>
      <c r="K14" s="224">
        <f t="shared" si="1"/>
      </c>
    </row>
    <row r="15" spans="2:11" ht="12.75" customHeight="1">
      <c r="B15" s="193" t="s">
        <v>76</v>
      </c>
      <c r="C15" s="198" t="s">
        <v>161</v>
      </c>
      <c r="D15" s="198">
        <v>529</v>
      </c>
      <c r="E15" s="188">
        <f>LOOKUP(B15,'First Recount'!$B$3:$C$69)</f>
        <v>-0.34417513682564504</v>
      </c>
      <c r="F15" s="201">
        <f t="shared" si="2"/>
        <v>0</v>
      </c>
      <c r="G15" s="211">
        <v>0</v>
      </c>
      <c r="H15" s="201">
        <f t="shared" si="3"/>
        <v>-182.06864738076624</v>
      </c>
      <c r="I15" s="211">
        <v>0</v>
      </c>
      <c r="J15" s="189">
        <v>0</v>
      </c>
      <c r="K15" s="224">
        <f t="shared" si="1"/>
      </c>
    </row>
    <row r="16" spans="2:11" ht="12.75" customHeight="1">
      <c r="B16" s="193" t="s">
        <v>77</v>
      </c>
      <c r="C16" s="198" t="s">
        <v>158</v>
      </c>
      <c r="D16" s="198">
        <v>40</v>
      </c>
      <c r="E16" s="188">
        <f>LOOKUP(B16,'First Recount'!$B$3:$C$69)</f>
        <v>-0.2757036862560358</v>
      </c>
      <c r="F16" s="201">
        <f t="shared" si="2"/>
        <v>0</v>
      </c>
      <c r="G16" s="211">
        <v>0</v>
      </c>
      <c r="H16" s="201">
        <f t="shared" si="3"/>
        <v>-11.028147450241432</v>
      </c>
      <c r="I16" s="211">
        <v>0</v>
      </c>
      <c r="J16" s="189">
        <v>0</v>
      </c>
      <c r="K16" s="224">
        <f t="shared" si="1"/>
      </c>
    </row>
    <row r="17" spans="2:11" ht="12.75" customHeight="1">
      <c r="B17" s="193" t="s">
        <v>78</v>
      </c>
      <c r="C17" s="198" t="s">
        <v>161</v>
      </c>
      <c r="D17" s="198">
        <v>277</v>
      </c>
      <c r="E17" s="188">
        <f>LOOKUP(B17,'First Recount'!$B$3:$C$69)</f>
        <v>-0.08425449448244071</v>
      </c>
      <c r="F17" s="201">
        <f t="shared" si="2"/>
        <v>0</v>
      </c>
      <c r="G17" s="211">
        <v>0</v>
      </c>
      <c r="H17" s="201">
        <f t="shared" si="3"/>
        <v>-23.338494971636077</v>
      </c>
      <c r="I17" s="211">
        <v>0</v>
      </c>
      <c r="J17" s="189">
        <v>0</v>
      </c>
      <c r="K17" s="224">
        <f t="shared" si="1"/>
      </c>
    </row>
    <row r="18" spans="2:11" s="220" customFormat="1" ht="12.75" customHeight="1">
      <c r="B18" s="214" t="s">
        <v>79</v>
      </c>
      <c r="C18" s="215" t="s">
        <v>159</v>
      </c>
      <c r="D18" s="215">
        <v>0</v>
      </c>
      <c r="E18" s="216">
        <f>LOOKUP(B18,'First Recount'!$B$3:$C$69)</f>
        <v>0.3709057290184356</v>
      </c>
      <c r="F18" s="217">
        <f t="shared" si="2"/>
        <v>0</v>
      </c>
      <c r="G18" s="218">
        <v>0</v>
      </c>
      <c r="H18" s="217">
        <f t="shared" si="3"/>
        <v>0</v>
      </c>
      <c r="I18" s="218">
        <v>0</v>
      </c>
      <c r="J18" s="219">
        <v>0</v>
      </c>
      <c r="K18" s="96">
        <f t="shared" si="1"/>
        <v>0</v>
      </c>
    </row>
    <row r="19" spans="2:11" ht="12.75" customHeight="1">
      <c r="B19" s="193" t="s">
        <v>80</v>
      </c>
      <c r="C19" s="198" t="s">
        <v>157</v>
      </c>
      <c r="D19" s="198">
        <v>78</v>
      </c>
      <c r="E19" s="188">
        <f>LOOKUP(B19,'First Recount'!$B$3:$C$69)</f>
        <v>-0.14257307615828196</v>
      </c>
      <c r="F19" s="201">
        <f t="shared" si="2"/>
        <v>0</v>
      </c>
      <c r="G19" s="211">
        <v>0</v>
      </c>
      <c r="H19" s="201">
        <f t="shared" si="3"/>
        <v>-11.120699940345993</v>
      </c>
      <c r="I19" s="211">
        <v>0</v>
      </c>
      <c r="J19" s="189">
        <v>0</v>
      </c>
      <c r="K19" s="224">
        <f aca="true" t="shared" si="4" ref="K19:K79">IF(C19="Punch",F19+H19,"")</f>
      </c>
    </row>
    <row r="20" spans="2:11" ht="12.75" customHeight="1">
      <c r="B20" s="193" t="s">
        <v>81</v>
      </c>
      <c r="C20" s="198" t="s">
        <v>161</v>
      </c>
      <c r="D20" s="198">
        <v>168</v>
      </c>
      <c r="E20" s="188">
        <f>LOOKUP(B20,'First Recount'!$B$3:$C$69)</f>
        <v>-0.08885269078280111</v>
      </c>
      <c r="F20" s="201">
        <f t="shared" si="2"/>
        <v>0</v>
      </c>
      <c r="G20" s="211">
        <v>0</v>
      </c>
      <c r="H20" s="201">
        <f t="shared" si="3"/>
        <v>-14.927252051510587</v>
      </c>
      <c r="I20" s="211">
        <v>0</v>
      </c>
      <c r="J20" s="189">
        <v>0</v>
      </c>
      <c r="K20" s="224">
        <f t="shared" si="4"/>
      </c>
    </row>
    <row r="21" spans="2:11" ht="12.75" customHeight="1">
      <c r="B21" s="193" t="s">
        <v>82</v>
      </c>
      <c r="C21" s="198" t="s">
        <v>161</v>
      </c>
      <c r="D21" s="198">
        <v>163</v>
      </c>
      <c r="E21" s="188">
        <f>LOOKUP(B21,'First Recount'!$B$3:$C$69)</f>
        <v>-0.07717053422974048</v>
      </c>
      <c r="F21" s="201">
        <f t="shared" si="2"/>
        <v>0</v>
      </c>
      <c r="G21" s="211">
        <v>0</v>
      </c>
      <c r="H21" s="201">
        <f t="shared" si="3"/>
        <v>-12.578797079447698</v>
      </c>
      <c r="I21" s="211">
        <v>0</v>
      </c>
      <c r="J21" s="189">
        <v>0</v>
      </c>
      <c r="K21" s="224">
        <f t="shared" si="4"/>
      </c>
    </row>
    <row r="22" spans="2:11" ht="12.75" customHeight="1">
      <c r="B22" s="193" t="s">
        <v>83</v>
      </c>
      <c r="C22" s="198" t="s">
        <v>161</v>
      </c>
      <c r="D22" s="198">
        <v>233</v>
      </c>
      <c r="E22" s="188">
        <f>LOOKUP(B22,'First Recount'!$B$3:$C$69)</f>
        <v>-0.4814304148768804</v>
      </c>
      <c r="F22" s="201">
        <f t="shared" si="2"/>
        <v>0</v>
      </c>
      <c r="G22" s="211">
        <v>0</v>
      </c>
      <c r="H22" s="201">
        <f t="shared" si="3"/>
        <v>-112.17328666631313</v>
      </c>
      <c r="I22" s="211">
        <v>0</v>
      </c>
      <c r="J22" s="189">
        <v>0</v>
      </c>
      <c r="K22" s="224">
        <f t="shared" si="4"/>
      </c>
    </row>
    <row r="23" spans="2:11" s="220" customFormat="1" ht="12.75" customHeight="1">
      <c r="B23" s="214" t="s">
        <v>84</v>
      </c>
      <c r="C23" s="215" t="s">
        <v>159</v>
      </c>
      <c r="D23" s="221">
        <v>1102</v>
      </c>
      <c r="E23" s="216">
        <f>LOOKUP(B23,'First Recount'!$B$3:$C$69)</f>
        <v>-0.33767670287370305</v>
      </c>
      <c r="F23" s="217">
        <f t="shared" si="2"/>
        <v>0</v>
      </c>
      <c r="G23" s="218">
        <v>0</v>
      </c>
      <c r="H23" s="217">
        <f t="shared" si="3"/>
        <v>-372.11972656682076</v>
      </c>
      <c r="I23" s="218">
        <v>0</v>
      </c>
      <c r="J23" s="219">
        <v>0</v>
      </c>
      <c r="K23" s="96">
        <f t="shared" si="4"/>
        <v>-372.11972656682076</v>
      </c>
    </row>
    <row r="24" spans="2:11" ht="12.75" customHeight="1">
      <c r="B24" s="193" t="s">
        <v>85</v>
      </c>
      <c r="C24" s="198" t="s">
        <v>160</v>
      </c>
      <c r="D24" s="198">
        <v>76</v>
      </c>
      <c r="E24" s="188">
        <f>LOOKUP(B24,'First Recount'!$B$3:$C$69)</f>
        <v>-0.21751678969861798</v>
      </c>
      <c r="F24" s="201">
        <f t="shared" si="2"/>
        <v>0</v>
      </c>
      <c r="G24" s="211">
        <v>0</v>
      </c>
      <c r="H24" s="201">
        <f t="shared" si="3"/>
        <v>-16.531276017094967</v>
      </c>
      <c r="I24" s="211">
        <v>0</v>
      </c>
      <c r="J24" s="189">
        <v>0</v>
      </c>
      <c r="K24" s="224">
        <f t="shared" si="4"/>
      </c>
    </row>
    <row r="25" spans="2:11" s="220" customFormat="1" ht="12.75" customHeight="1">
      <c r="B25" s="214" t="s">
        <v>148</v>
      </c>
      <c r="C25" s="215" t="s">
        <v>159</v>
      </c>
      <c r="D25" s="221">
        <v>9000</v>
      </c>
      <c r="E25" s="216">
        <f>LOOKUP(B25,'First Recount'!$B$3:$C$69)</f>
        <v>0.06353556766126438</v>
      </c>
      <c r="F25" s="217">
        <f t="shared" si="2"/>
        <v>571.8201089513794</v>
      </c>
      <c r="G25" s="218">
        <v>0</v>
      </c>
      <c r="H25" s="217">
        <f t="shared" si="3"/>
        <v>0</v>
      </c>
      <c r="I25" s="218">
        <v>0</v>
      </c>
      <c r="J25" s="219">
        <v>0</v>
      </c>
      <c r="K25" s="96">
        <f t="shared" si="4"/>
        <v>571.8201089513794</v>
      </c>
    </row>
    <row r="26" spans="2:11" ht="12.75" customHeight="1">
      <c r="B26" s="193" t="s">
        <v>86</v>
      </c>
      <c r="C26" s="198" t="s">
        <v>160</v>
      </c>
      <c r="D26" s="198" t="s">
        <v>142</v>
      </c>
      <c r="E26" s="188">
        <f>LOOKUP(B26,'First Recount'!$B$3:$C$69)</f>
        <v>-0.12339976243896002</v>
      </c>
      <c r="F26" s="201">
        <f t="shared" si="2"/>
        <v>0</v>
      </c>
      <c r="G26" s="211">
        <v>0</v>
      </c>
      <c r="H26" s="201">
        <f t="shared" si="3"/>
        <v>0</v>
      </c>
      <c r="I26" s="211">
        <v>0</v>
      </c>
      <c r="J26" s="189">
        <v>0</v>
      </c>
      <c r="K26" s="224">
        <f t="shared" si="4"/>
      </c>
    </row>
    <row r="27" spans="2:11" ht="12.75" customHeight="1">
      <c r="B27" s="193" t="s">
        <v>87</v>
      </c>
      <c r="C27" s="198" t="s">
        <v>161</v>
      </c>
      <c r="D27" s="198">
        <v>0</v>
      </c>
      <c r="E27" s="188">
        <f>LOOKUP(B27,'First Recount'!$B$3:$C$69)</f>
        <v>-0.19230769230769232</v>
      </c>
      <c r="F27" s="201">
        <f t="shared" si="2"/>
        <v>0</v>
      </c>
      <c r="G27" s="211">
        <v>0</v>
      </c>
      <c r="H27" s="201">
        <f t="shared" si="3"/>
        <v>0</v>
      </c>
      <c r="I27" s="211">
        <v>0</v>
      </c>
      <c r="J27" s="189">
        <v>0</v>
      </c>
      <c r="K27" s="224">
        <f t="shared" si="4"/>
      </c>
    </row>
    <row r="28" spans="2:11" s="220" customFormat="1" ht="12.75" customHeight="1">
      <c r="B28" s="214" t="s">
        <v>88</v>
      </c>
      <c r="C28" s="215" t="s">
        <v>159</v>
      </c>
      <c r="D28" s="221">
        <v>4967</v>
      </c>
      <c r="E28" s="216">
        <f>LOOKUP(B28,'First Recount'!$B$3:$C$69)</f>
        <v>-0.1705227275344627</v>
      </c>
      <c r="F28" s="217">
        <f t="shared" si="2"/>
        <v>0</v>
      </c>
      <c r="G28" s="218">
        <v>0</v>
      </c>
      <c r="H28" s="217">
        <f t="shared" si="3"/>
        <v>-846.9863876636763</v>
      </c>
      <c r="I28" s="218">
        <v>0</v>
      </c>
      <c r="J28" s="219">
        <v>0</v>
      </c>
      <c r="K28" s="96">
        <f t="shared" si="4"/>
        <v>-846.9863876636763</v>
      </c>
    </row>
    <row r="29" spans="2:11" ht="12.75" customHeight="1">
      <c r="B29" s="193" t="s">
        <v>89</v>
      </c>
      <c r="C29" s="198" t="s">
        <v>161</v>
      </c>
      <c r="D29" s="198" t="s">
        <v>142</v>
      </c>
      <c r="E29" s="188">
        <f>LOOKUP(B29,'First Recount'!$B$3:$C$69)</f>
        <v>-0.2818913639509114</v>
      </c>
      <c r="F29" s="201">
        <f t="shared" si="2"/>
        <v>0</v>
      </c>
      <c r="G29" s="211">
        <v>0</v>
      </c>
      <c r="H29" s="201">
        <f t="shared" si="3"/>
        <v>0</v>
      </c>
      <c r="I29" s="211">
        <v>0</v>
      </c>
      <c r="J29" s="189">
        <v>0</v>
      </c>
      <c r="K29" s="224">
        <f t="shared" si="4"/>
      </c>
    </row>
    <row r="30" spans="2:11" ht="12.75" customHeight="1">
      <c r="B30" s="193" t="s">
        <v>90</v>
      </c>
      <c r="C30" s="198" t="s">
        <v>161</v>
      </c>
      <c r="D30" s="198">
        <v>55</v>
      </c>
      <c r="E30" s="188">
        <f>LOOKUP(B30,'First Recount'!$B$3:$C$69)</f>
        <v>0.04823684706769753</v>
      </c>
      <c r="F30" s="201">
        <f t="shared" si="2"/>
        <v>2.653026588723364</v>
      </c>
      <c r="G30" s="211">
        <v>0</v>
      </c>
      <c r="H30" s="201">
        <f t="shared" si="3"/>
        <v>0</v>
      </c>
      <c r="I30" s="211">
        <v>0</v>
      </c>
      <c r="J30" s="189">
        <v>0</v>
      </c>
      <c r="K30" s="224">
        <f t="shared" si="4"/>
      </c>
    </row>
    <row r="31" spans="2:11" ht="12.75" customHeight="1">
      <c r="B31" s="193" t="s">
        <v>91</v>
      </c>
      <c r="C31" s="198" t="s">
        <v>161</v>
      </c>
      <c r="D31" s="198">
        <v>70</v>
      </c>
      <c r="E31" s="188">
        <f>LOOKUP(B31,'First Recount'!$B$3:$C$69)</f>
        <v>-0.09042435014441236</v>
      </c>
      <c r="F31" s="201">
        <f t="shared" si="2"/>
        <v>0</v>
      </c>
      <c r="G31" s="211">
        <v>0</v>
      </c>
      <c r="H31" s="201">
        <f t="shared" si="3"/>
        <v>-6.329704510108865</v>
      </c>
      <c r="I31" s="211">
        <v>0</v>
      </c>
      <c r="J31" s="189">
        <v>0</v>
      </c>
      <c r="K31" s="224">
        <f t="shared" si="4"/>
      </c>
    </row>
    <row r="32" spans="2:11" ht="12.75" customHeight="1">
      <c r="B32" s="193" t="s">
        <v>92</v>
      </c>
      <c r="C32" s="198" t="s">
        <v>161</v>
      </c>
      <c r="D32" s="198">
        <v>122</v>
      </c>
      <c r="E32" s="188">
        <f>LOOKUP(B32,'First Recount'!$B$3:$C$69)</f>
        <v>0.3423411002343858</v>
      </c>
      <c r="F32" s="201">
        <f t="shared" si="2"/>
        <v>41.76561422859507</v>
      </c>
      <c r="G32" s="211">
        <v>0</v>
      </c>
      <c r="H32" s="201">
        <f t="shared" si="3"/>
        <v>0</v>
      </c>
      <c r="I32" s="211">
        <v>0</v>
      </c>
      <c r="J32" s="189">
        <v>0</v>
      </c>
      <c r="K32" s="224">
        <f t="shared" si="4"/>
      </c>
    </row>
    <row r="33" spans="2:11" ht="12.75" customHeight="1">
      <c r="B33" s="193" t="s">
        <v>93</v>
      </c>
      <c r="C33" s="198" t="s">
        <v>161</v>
      </c>
      <c r="D33" s="198" t="s">
        <v>142</v>
      </c>
      <c r="E33" s="188">
        <f>LOOKUP(B33,'First Recount'!$B$3:$C$69)</f>
        <v>-0.2667946257197697</v>
      </c>
      <c r="F33" s="201">
        <f t="shared" si="2"/>
        <v>0</v>
      </c>
      <c r="G33" s="211">
        <v>0</v>
      </c>
      <c r="H33" s="201">
        <f t="shared" si="3"/>
        <v>0</v>
      </c>
      <c r="I33" s="211">
        <v>0</v>
      </c>
      <c r="J33" s="189">
        <v>0</v>
      </c>
      <c r="K33" s="224">
        <f t="shared" si="4"/>
      </c>
    </row>
    <row r="34" spans="2:11" ht="12.75" customHeight="1">
      <c r="B34" s="193" t="s">
        <v>94</v>
      </c>
      <c r="C34" s="198" t="s">
        <v>160</v>
      </c>
      <c r="D34" s="198">
        <v>0</v>
      </c>
      <c r="E34" s="188">
        <f>LOOKUP(B34,'First Recount'!$B$3:$C$69)</f>
        <v>-0.12153518123667377</v>
      </c>
      <c r="F34" s="201">
        <f t="shared" si="2"/>
        <v>0</v>
      </c>
      <c r="G34" s="211">
        <v>0</v>
      </c>
      <c r="H34" s="201">
        <f t="shared" si="3"/>
        <v>0</v>
      </c>
      <c r="I34" s="211">
        <v>0</v>
      </c>
      <c r="J34" s="189">
        <v>0</v>
      </c>
      <c r="K34" s="224">
        <f t="shared" si="4"/>
      </c>
    </row>
    <row r="35" spans="2:11" ht="12.75" customHeight="1">
      <c r="B35" s="193" t="s">
        <v>95</v>
      </c>
      <c r="C35" s="198" t="s">
        <v>161</v>
      </c>
      <c r="D35" s="198">
        <v>48</v>
      </c>
      <c r="E35" s="188">
        <f>LOOKUP(B35,'First Recount'!$B$3:$C$69)</f>
        <v>-0.19408502772643252</v>
      </c>
      <c r="F35" s="201">
        <f t="shared" si="2"/>
        <v>0</v>
      </c>
      <c r="G35" s="211">
        <v>0</v>
      </c>
      <c r="H35" s="201">
        <f t="shared" si="3"/>
        <v>-9.31608133086876</v>
      </c>
      <c r="I35" s="211">
        <v>0</v>
      </c>
      <c r="J35" s="189">
        <v>0</v>
      </c>
      <c r="K35" s="224">
        <f t="shared" si="4"/>
      </c>
    </row>
    <row r="36" spans="2:11" ht="12.75" customHeight="1">
      <c r="B36" s="193" t="s">
        <v>96</v>
      </c>
      <c r="C36" s="198" t="s">
        <v>161</v>
      </c>
      <c r="D36" s="198">
        <v>0</v>
      </c>
      <c r="E36" s="188">
        <f>LOOKUP(B36,'First Recount'!$B$3:$C$69)</f>
        <v>-0.10956072351421188</v>
      </c>
      <c r="F36" s="201">
        <f t="shared" si="2"/>
        <v>0</v>
      </c>
      <c r="G36" s="211">
        <v>0</v>
      </c>
      <c r="H36" s="201">
        <f t="shared" si="3"/>
        <v>0</v>
      </c>
      <c r="I36" s="211">
        <v>0</v>
      </c>
      <c r="J36" s="189">
        <v>0</v>
      </c>
      <c r="K36" s="224">
        <f t="shared" si="4"/>
      </c>
    </row>
    <row r="37" spans="2:11" ht="12.75" customHeight="1">
      <c r="B37" s="193" t="s">
        <v>97</v>
      </c>
      <c r="C37" s="198" t="s">
        <v>160</v>
      </c>
      <c r="D37" s="198">
        <v>85</v>
      </c>
      <c r="E37" s="188">
        <f>LOOKUP(B37,'First Recount'!$B$3:$C$69)</f>
        <v>-0.23301129850990668</v>
      </c>
      <c r="F37" s="201">
        <f t="shared" si="2"/>
        <v>0</v>
      </c>
      <c r="G37" s="211">
        <v>0</v>
      </c>
      <c r="H37" s="201">
        <f t="shared" si="3"/>
        <v>-19.805960373342067</v>
      </c>
      <c r="I37" s="211">
        <v>0</v>
      </c>
      <c r="J37" s="189">
        <v>0</v>
      </c>
      <c r="K37" s="224">
        <f t="shared" si="4"/>
      </c>
    </row>
    <row r="38" spans="2:11" ht="12.75" customHeight="1">
      <c r="B38" s="193" t="s">
        <v>98</v>
      </c>
      <c r="C38" s="198" t="s">
        <v>161</v>
      </c>
      <c r="D38" s="198">
        <v>761</v>
      </c>
      <c r="E38" s="188">
        <f>LOOKUP(B38,'First Recount'!$B$3:$C$69)</f>
        <v>-0.1886816076123701</v>
      </c>
      <c r="F38" s="201">
        <f t="shared" si="2"/>
        <v>0</v>
      </c>
      <c r="G38" s="211">
        <v>0</v>
      </c>
      <c r="H38" s="201">
        <f t="shared" si="3"/>
        <v>-143.58670339301364</v>
      </c>
      <c r="I38" s="211">
        <v>0</v>
      </c>
      <c r="J38" s="189">
        <v>0</v>
      </c>
      <c r="K38" s="224">
        <f t="shared" si="4"/>
      </c>
    </row>
    <row r="39" spans="2:11" ht="12.75" customHeight="1">
      <c r="B39" s="193" t="s">
        <v>99</v>
      </c>
      <c r="C39" s="198" t="s">
        <v>161</v>
      </c>
      <c r="D39" s="198">
        <v>101</v>
      </c>
      <c r="E39" s="188">
        <f>LOOKUP(B39,'First Recount'!$B$3:$C$69)</f>
        <v>0.031434619151423246</v>
      </c>
      <c r="F39" s="201">
        <f t="shared" si="2"/>
        <v>3.174896534293748</v>
      </c>
      <c r="G39" s="211">
        <v>0</v>
      </c>
      <c r="H39" s="201">
        <f t="shared" si="3"/>
        <v>0</v>
      </c>
      <c r="I39" s="211">
        <v>0</v>
      </c>
      <c r="J39" s="189">
        <v>0</v>
      </c>
      <c r="K39" s="224">
        <f t="shared" si="4"/>
      </c>
    </row>
    <row r="40" spans="2:11" s="220" customFormat="1" ht="12.75" customHeight="1">
      <c r="B40" s="214" t="s">
        <v>100</v>
      </c>
      <c r="C40" s="215" t="s">
        <v>159</v>
      </c>
      <c r="D40" s="215">
        <v>489</v>
      </c>
      <c r="E40" s="216">
        <f>LOOKUP(B40,'First Recount'!$B$3:$C$69)</f>
        <v>-0.1756457993949267</v>
      </c>
      <c r="F40" s="217">
        <f t="shared" si="2"/>
        <v>0</v>
      </c>
      <c r="G40" s="218">
        <v>0</v>
      </c>
      <c r="H40" s="217">
        <f t="shared" si="3"/>
        <v>-85.89079590411916</v>
      </c>
      <c r="I40" s="218">
        <v>0</v>
      </c>
      <c r="J40" s="219">
        <v>0</v>
      </c>
      <c r="K40" s="96">
        <f t="shared" si="4"/>
        <v>-85.89079590411916</v>
      </c>
    </row>
    <row r="41" spans="2:11" s="220" customFormat="1" ht="12.75" customHeight="1">
      <c r="B41" s="214" t="s">
        <v>101</v>
      </c>
      <c r="C41" s="215" t="s">
        <v>159</v>
      </c>
      <c r="D41" s="221">
        <v>5531</v>
      </c>
      <c r="E41" s="216">
        <f>LOOKUP(B41,'First Recount'!$B$3:$C$69)</f>
        <v>-0.03201758141393384</v>
      </c>
      <c r="F41" s="217">
        <f t="shared" si="2"/>
        <v>0</v>
      </c>
      <c r="G41" s="218">
        <v>0</v>
      </c>
      <c r="H41" s="217">
        <f t="shared" si="3"/>
        <v>-177.08924280046807</v>
      </c>
      <c r="I41" s="218">
        <v>0</v>
      </c>
      <c r="J41" s="219">
        <v>0</v>
      </c>
      <c r="K41" s="96">
        <f t="shared" si="4"/>
        <v>-177.08924280046807</v>
      </c>
    </row>
    <row r="42" spans="2:11" ht="12.75" customHeight="1">
      <c r="B42" s="193" t="s">
        <v>102</v>
      </c>
      <c r="C42" s="198" t="s">
        <v>161</v>
      </c>
      <c r="D42" s="198" t="s">
        <v>142</v>
      </c>
      <c r="E42" s="188">
        <f>LOOKUP(B42,'First Recount'!$B$3:$C$69)</f>
        <v>-0.3943524829600779</v>
      </c>
      <c r="F42" s="201">
        <f t="shared" si="2"/>
        <v>0</v>
      </c>
      <c r="G42" s="211">
        <v>0</v>
      </c>
      <c r="H42" s="201">
        <f t="shared" si="3"/>
        <v>0</v>
      </c>
      <c r="I42" s="211">
        <v>0</v>
      </c>
      <c r="J42" s="189">
        <v>0</v>
      </c>
      <c r="K42" s="224">
        <f t="shared" si="4"/>
      </c>
    </row>
    <row r="43" spans="2:11" ht="12.75" customHeight="1">
      <c r="B43" s="193" t="s">
        <v>103</v>
      </c>
      <c r="C43" s="198" t="s">
        <v>161</v>
      </c>
      <c r="D43" s="199">
        <v>1058</v>
      </c>
      <c r="E43" s="188">
        <f>LOOKUP(B43,'First Recount'!$B$3:$C$69)</f>
        <v>-0.1832341761692282</v>
      </c>
      <c r="F43" s="201">
        <f t="shared" si="2"/>
        <v>0</v>
      </c>
      <c r="G43" s="211">
        <v>0</v>
      </c>
      <c r="H43" s="201">
        <f t="shared" si="3"/>
        <v>-193.86175838704344</v>
      </c>
      <c r="I43" s="211">
        <v>0</v>
      </c>
      <c r="J43" s="189">
        <v>0</v>
      </c>
      <c r="K43" s="224">
        <f t="shared" si="4"/>
      </c>
    </row>
    <row r="44" spans="2:11" ht="12.75" customHeight="1">
      <c r="B44" s="193" t="s">
        <v>104</v>
      </c>
      <c r="C44" s="198" t="s">
        <v>161</v>
      </c>
      <c r="D44" s="198">
        <v>94</v>
      </c>
      <c r="E44" s="188">
        <f>LOOKUP(B44,'First Recount'!$B$3:$C$69)</f>
        <v>-0.14173277531388595</v>
      </c>
      <c r="F44" s="201">
        <f t="shared" si="2"/>
        <v>0</v>
      </c>
      <c r="G44" s="211">
        <v>0</v>
      </c>
      <c r="H44" s="201">
        <f t="shared" si="3"/>
        <v>-13.322880879505279</v>
      </c>
      <c r="I44" s="211">
        <v>0</v>
      </c>
      <c r="J44" s="189">
        <v>0</v>
      </c>
      <c r="K44" s="224">
        <f t="shared" si="4"/>
      </c>
    </row>
    <row r="45" spans="2:11" ht="12.75" customHeight="1">
      <c r="B45" s="193" t="s">
        <v>105</v>
      </c>
      <c r="C45" s="198" t="s">
        <v>160</v>
      </c>
      <c r="D45" s="198">
        <v>0</v>
      </c>
      <c r="E45" s="188">
        <f>LOOKUP(B45,'First Recount'!$B$3:$C$69)</f>
        <v>0.10201123391918826</v>
      </c>
      <c r="F45" s="201">
        <f t="shared" si="2"/>
        <v>0</v>
      </c>
      <c r="G45" s="211">
        <v>0</v>
      </c>
      <c r="H45" s="201">
        <f t="shared" si="3"/>
        <v>0</v>
      </c>
      <c r="I45" s="211">
        <v>0</v>
      </c>
      <c r="J45" s="189">
        <v>0</v>
      </c>
      <c r="K45" s="224">
        <f t="shared" si="4"/>
      </c>
    </row>
    <row r="46" spans="2:11" ht="12.75" customHeight="1">
      <c r="B46" s="193" t="s">
        <v>106</v>
      </c>
      <c r="C46" s="198" t="s">
        <v>161</v>
      </c>
      <c r="D46" s="198">
        <v>0</v>
      </c>
      <c r="E46" s="188">
        <f>LOOKUP(B46,'First Recount'!$B$3:$C$69)</f>
        <v>-0.3582757218381456</v>
      </c>
      <c r="F46" s="201">
        <f t="shared" si="2"/>
        <v>0</v>
      </c>
      <c r="G46" s="211">
        <v>0</v>
      </c>
      <c r="H46" s="201">
        <f t="shared" si="3"/>
        <v>0</v>
      </c>
      <c r="I46" s="211">
        <v>0</v>
      </c>
      <c r="J46" s="189">
        <v>0</v>
      </c>
      <c r="K46" s="224">
        <f t="shared" si="4"/>
      </c>
    </row>
    <row r="47" spans="2:11" ht="12.75" customHeight="1">
      <c r="B47" s="193" t="s">
        <v>107</v>
      </c>
      <c r="C47" s="198" t="s">
        <v>161</v>
      </c>
      <c r="D47" s="198">
        <v>245</v>
      </c>
      <c r="E47" s="188">
        <f>LOOKUP(B47,'First Recount'!$B$3:$C$69)</f>
        <v>-0.15521881244152874</v>
      </c>
      <c r="F47" s="201">
        <f t="shared" si="2"/>
        <v>0</v>
      </c>
      <c r="G47" s="211">
        <v>0</v>
      </c>
      <c r="H47" s="201">
        <f t="shared" si="3"/>
        <v>-38.028609048174545</v>
      </c>
      <c r="I47" s="211">
        <v>0</v>
      </c>
      <c r="J47" s="189">
        <v>0</v>
      </c>
      <c r="K47" s="224">
        <f t="shared" si="4"/>
      </c>
    </row>
    <row r="48" spans="2:11" s="220" customFormat="1" ht="12.75" customHeight="1">
      <c r="B48" s="214" t="s">
        <v>108</v>
      </c>
      <c r="C48" s="215" t="s">
        <v>159</v>
      </c>
      <c r="D48" s="221">
        <v>2017</v>
      </c>
      <c r="E48" s="216">
        <f>LOOKUP(B48,'First Recount'!$B$3:$C$69)</f>
        <v>-0.18127997685313985</v>
      </c>
      <c r="F48" s="217">
        <f t="shared" si="2"/>
        <v>0</v>
      </c>
      <c r="G48" s="218">
        <v>0</v>
      </c>
      <c r="H48" s="217">
        <f t="shared" si="3"/>
        <v>-365.64171331278305</v>
      </c>
      <c r="I48" s="218">
        <v>0</v>
      </c>
      <c r="J48" s="219">
        <v>0</v>
      </c>
      <c r="K48" s="96">
        <f t="shared" si="4"/>
        <v>-365.64171331278305</v>
      </c>
    </row>
    <row r="49" spans="2:11" ht="12.75" customHeight="1">
      <c r="B49" s="193" t="s">
        <v>109</v>
      </c>
      <c r="C49" s="198" t="s">
        <v>161</v>
      </c>
      <c r="D49" s="198">
        <v>181</v>
      </c>
      <c r="E49" s="188">
        <f>LOOKUP(B49,'First Recount'!$B$3:$C$69)</f>
        <v>0.22255936806709312</v>
      </c>
      <c r="F49" s="201">
        <f t="shared" si="2"/>
        <v>40.28324562014385</v>
      </c>
      <c r="G49" s="211">
        <v>0</v>
      </c>
      <c r="H49" s="201">
        <f t="shared" si="3"/>
        <v>0</v>
      </c>
      <c r="I49" s="211">
        <v>0</v>
      </c>
      <c r="J49" s="189">
        <v>0</v>
      </c>
      <c r="K49" s="224">
        <f t="shared" si="4"/>
      </c>
    </row>
    <row r="50" spans="2:11" ht="12.75" customHeight="1">
      <c r="B50" s="193" t="s">
        <v>110</v>
      </c>
      <c r="C50" s="198" t="s">
        <v>160</v>
      </c>
      <c r="D50" s="198">
        <v>52</v>
      </c>
      <c r="E50" s="188">
        <f>LOOKUP(B50,'First Recount'!$B$3:$C$69)</f>
        <v>-0.11948454449066144</v>
      </c>
      <c r="F50" s="201">
        <f t="shared" si="2"/>
        <v>0</v>
      </c>
      <c r="G50" s="211">
        <v>0</v>
      </c>
      <c r="H50" s="201">
        <f t="shared" si="3"/>
        <v>-6.213196313514395</v>
      </c>
      <c r="I50" s="211">
        <v>0</v>
      </c>
      <c r="J50" s="189">
        <v>0</v>
      </c>
      <c r="K50" s="224">
        <f t="shared" si="4"/>
      </c>
    </row>
    <row r="51" spans="2:11" ht="12.75" customHeight="1">
      <c r="B51" s="193" t="s">
        <v>111</v>
      </c>
      <c r="C51" s="198" t="s">
        <v>161</v>
      </c>
      <c r="D51" s="198">
        <v>29</v>
      </c>
      <c r="E51" s="188">
        <f>LOOKUP(B51,'First Recount'!$B$3:$C$69)</f>
        <v>-0.12853470437017994</v>
      </c>
      <c r="F51" s="201">
        <f t="shared" si="2"/>
        <v>0</v>
      </c>
      <c r="G51" s="211">
        <v>0</v>
      </c>
      <c r="H51" s="201">
        <f t="shared" si="3"/>
        <v>-3.7275064267352183</v>
      </c>
      <c r="I51" s="211">
        <v>0</v>
      </c>
      <c r="J51" s="189">
        <v>0</v>
      </c>
      <c r="K51" s="224">
        <f t="shared" si="4"/>
      </c>
    </row>
    <row r="52" spans="2:11" ht="12.75" customHeight="1">
      <c r="B52" s="193" t="s">
        <v>112</v>
      </c>
      <c r="C52" s="198" t="s">
        <v>160</v>
      </c>
      <c r="D52" s="198" t="s">
        <v>142</v>
      </c>
      <c r="E52" s="188">
        <f>LOOKUP(B52,'First Recount'!$B$3:$C$69)</f>
        <v>-0.003799768709730712</v>
      </c>
      <c r="F52" s="201">
        <f t="shared" si="2"/>
        <v>0</v>
      </c>
      <c r="G52" s="211">
        <v>0</v>
      </c>
      <c r="H52" s="201">
        <f t="shared" si="3"/>
        <v>0</v>
      </c>
      <c r="I52" s="211">
        <v>0</v>
      </c>
      <c r="J52" s="189">
        <v>0</v>
      </c>
      <c r="K52" s="224">
        <f t="shared" si="4"/>
      </c>
    </row>
    <row r="53" spans="2:11" ht="12.75" customHeight="1">
      <c r="B53" s="193" t="s">
        <v>113</v>
      </c>
      <c r="C53" s="198" t="s">
        <v>161</v>
      </c>
      <c r="D53" s="198">
        <v>111</v>
      </c>
      <c r="E53" s="188">
        <f>LOOKUP(B53,'First Recount'!$B$3:$C$69)</f>
        <v>-0.0820240748165484</v>
      </c>
      <c r="F53" s="201">
        <f t="shared" si="2"/>
        <v>0</v>
      </c>
      <c r="G53" s="211">
        <v>0</v>
      </c>
      <c r="H53" s="201">
        <f t="shared" si="3"/>
        <v>-9.104672304636873</v>
      </c>
      <c r="I53" s="211">
        <v>0</v>
      </c>
      <c r="J53" s="189">
        <v>0</v>
      </c>
      <c r="K53" s="224">
        <f t="shared" si="4"/>
      </c>
    </row>
    <row r="54" spans="2:11" s="220" customFormat="1" ht="12.75" customHeight="1">
      <c r="B54" s="214" t="s">
        <v>114</v>
      </c>
      <c r="C54" s="215" t="s">
        <v>159</v>
      </c>
      <c r="D54" s="221">
        <v>2445</v>
      </c>
      <c r="E54" s="216">
        <f>LOOKUP(B54,'First Recount'!$B$3:$C$69)</f>
        <v>-0.10490883590462834</v>
      </c>
      <c r="F54" s="217">
        <f t="shared" si="2"/>
        <v>0</v>
      </c>
      <c r="G54" s="218">
        <v>0</v>
      </c>
      <c r="H54" s="217">
        <f t="shared" si="3"/>
        <v>-256.5021037868163</v>
      </c>
      <c r="I54" s="218">
        <v>0</v>
      </c>
      <c r="J54" s="219">
        <v>0</v>
      </c>
      <c r="K54" s="96">
        <f t="shared" si="4"/>
        <v>-256.5021037868163</v>
      </c>
    </row>
    <row r="55" spans="2:11" s="220" customFormat="1" ht="12.75" customHeight="1">
      <c r="B55" s="214" t="s">
        <v>115</v>
      </c>
      <c r="C55" s="215" t="s">
        <v>159</v>
      </c>
      <c r="D55" s="215">
        <v>0</v>
      </c>
      <c r="E55" s="216">
        <f>LOOKUP(B55,'First Recount'!$B$3:$C$69)</f>
        <v>-0.12131764395227171</v>
      </c>
      <c r="F55" s="217">
        <f t="shared" si="2"/>
        <v>0</v>
      </c>
      <c r="G55" s="218">
        <v>0</v>
      </c>
      <c r="H55" s="217">
        <f t="shared" si="3"/>
        <v>0</v>
      </c>
      <c r="I55" s="218">
        <v>0</v>
      </c>
      <c r="J55" s="219">
        <v>0</v>
      </c>
      <c r="K55" s="96">
        <f t="shared" si="4"/>
        <v>0</v>
      </c>
    </row>
    <row r="56" spans="2:11" ht="12.75" customHeight="1">
      <c r="B56" s="193" t="s">
        <v>116</v>
      </c>
      <c r="C56" s="198" t="s">
        <v>161</v>
      </c>
      <c r="D56" s="198">
        <v>83</v>
      </c>
      <c r="E56" s="188">
        <f>LOOKUP(B56,'First Recount'!$B$3:$C$69)</f>
        <v>0.013026113671274962</v>
      </c>
      <c r="F56" s="201">
        <f t="shared" si="2"/>
        <v>1.0811674347158218</v>
      </c>
      <c r="G56" s="211">
        <v>0</v>
      </c>
      <c r="H56" s="201">
        <f t="shared" si="3"/>
        <v>0</v>
      </c>
      <c r="I56" s="211">
        <v>0</v>
      </c>
      <c r="J56" s="189">
        <v>0</v>
      </c>
      <c r="K56" s="224">
        <f t="shared" si="4"/>
      </c>
    </row>
    <row r="57" spans="2:11" ht="12.75" customHeight="1">
      <c r="B57" s="193" t="s">
        <v>117</v>
      </c>
      <c r="C57" s="198" t="s">
        <v>160</v>
      </c>
      <c r="D57" s="198">
        <v>195</v>
      </c>
      <c r="E57" s="188">
        <f>LOOKUP(B57,'First Recount'!$B$3:$C$69)</f>
        <v>-0.40461413345888797</v>
      </c>
      <c r="F57" s="201">
        <f t="shared" si="2"/>
        <v>0</v>
      </c>
      <c r="G57" s="211">
        <v>0</v>
      </c>
      <c r="H57" s="201">
        <f t="shared" si="3"/>
        <v>-78.89975602448315</v>
      </c>
      <c r="I57" s="211">
        <v>0</v>
      </c>
      <c r="J57" s="189">
        <v>0</v>
      </c>
      <c r="K57" s="224">
        <f t="shared" si="4"/>
      </c>
    </row>
    <row r="58" spans="2:11" ht="12.75" customHeight="1">
      <c r="B58" s="193" t="s">
        <v>118</v>
      </c>
      <c r="C58" s="198" t="s">
        <v>161</v>
      </c>
      <c r="D58" s="198">
        <v>85</v>
      </c>
      <c r="E58" s="188">
        <f>LOOKUP(B58,'First Recount'!$B$3:$C$69)</f>
        <v>-0.5088109866281171</v>
      </c>
      <c r="F58" s="201">
        <f t="shared" si="2"/>
        <v>0</v>
      </c>
      <c r="G58" s="211">
        <v>0</v>
      </c>
      <c r="H58" s="201">
        <f t="shared" si="3"/>
        <v>-43.24893386338995</v>
      </c>
      <c r="I58" s="211">
        <v>0</v>
      </c>
      <c r="J58" s="189">
        <v>0</v>
      </c>
      <c r="K58" s="224">
        <f t="shared" si="4"/>
      </c>
    </row>
    <row r="59" spans="2:11" s="220" customFormat="1" ht="12.75" customHeight="1">
      <c r="B59" s="214" t="s">
        <v>119</v>
      </c>
      <c r="C59" s="215" t="s">
        <v>159</v>
      </c>
      <c r="D59" s="215">
        <v>84</v>
      </c>
      <c r="E59" s="216">
        <f>LOOKUP(B59,'First Recount'!$B$3:$C$69)</f>
        <v>-0.04851752021563342</v>
      </c>
      <c r="F59" s="217">
        <f t="shared" si="2"/>
        <v>0</v>
      </c>
      <c r="G59" s="218">
        <v>0</v>
      </c>
      <c r="H59" s="217">
        <f t="shared" si="3"/>
        <v>-4.0754716981132075</v>
      </c>
      <c r="I59" s="218">
        <v>0</v>
      </c>
      <c r="J59" s="219">
        <v>0</v>
      </c>
      <c r="K59" s="96">
        <f t="shared" si="4"/>
        <v>-4.0754716981132075</v>
      </c>
    </row>
    <row r="60" spans="2:11" ht="12.75" customHeight="1">
      <c r="B60" s="193" t="s">
        <v>120</v>
      </c>
      <c r="C60" s="198" t="s">
        <v>161</v>
      </c>
      <c r="D60" s="198">
        <v>966</v>
      </c>
      <c r="E60" s="188">
        <f>LOOKUP(B60,'First Recount'!$B$3:$C$69)</f>
        <v>0.02076304650849629</v>
      </c>
      <c r="F60" s="201">
        <f t="shared" si="2"/>
        <v>20.057102927207417</v>
      </c>
      <c r="G60" s="211">
        <v>0</v>
      </c>
      <c r="H60" s="201">
        <f t="shared" si="3"/>
        <v>0</v>
      </c>
      <c r="I60" s="211">
        <v>0</v>
      </c>
      <c r="J60" s="189">
        <v>0</v>
      </c>
      <c r="K60" s="224">
        <f t="shared" si="4"/>
      </c>
    </row>
    <row r="61" spans="2:11" s="220" customFormat="1" ht="12.75" customHeight="1">
      <c r="B61" s="214" t="s">
        <v>121</v>
      </c>
      <c r="C61" s="215" t="s">
        <v>159</v>
      </c>
      <c r="D61" s="215">
        <v>642</v>
      </c>
      <c r="E61" s="216">
        <f>LOOKUP(B61,'First Recount'!$B$3:$C$69)</f>
        <v>0.03582978097897986</v>
      </c>
      <c r="F61" s="217">
        <f t="shared" si="2"/>
        <v>23.00271938850507</v>
      </c>
      <c r="G61" s="218">
        <v>0</v>
      </c>
      <c r="H61" s="217">
        <f t="shared" si="3"/>
        <v>0</v>
      </c>
      <c r="I61" s="218">
        <v>0</v>
      </c>
      <c r="J61" s="219">
        <v>0</v>
      </c>
      <c r="K61" s="96">
        <f t="shared" si="4"/>
        <v>23.00271938850507</v>
      </c>
    </row>
    <row r="62" spans="2:11" s="220" customFormat="1" ht="12.75" customHeight="1">
      <c r="B62" s="214" t="s">
        <v>122</v>
      </c>
      <c r="C62" s="215" t="s">
        <v>159</v>
      </c>
      <c r="D62" s="215">
        <v>0</v>
      </c>
      <c r="E62" s="216">
        <f>LOOKUP(B62,'First Recount'!$B$3:$C$69)</f>
        <v>0.27628347976665296</v>
      </c>
      <c r="F62" s="217">
        <f t="shared" si="2"/>
        <v>0</v>
      </c>
      <c r="G62" s="218">
        <v>0</v>
      </c>
      <c r="H62" s="217">
        <f t="shared" si="3"/>
        <v>0</v>
      </c>
      <c r="I62" s="218">
        <v>0</v>
      </c>
      <c r="J62" s="219">
        <v>0</v>
      </c>
      <c r="K62" s="96">
        <f t="shared" si="4"/>
        <v>0</v>
      </c>
    </row>
    <row r="63" spans="2:11" s="220" customFormat="1" ht="12.75" customHeight="1">
      <c r="B63" s="214" t="s">
        <v>123</v>
      </c>
      <c r="C63" s="215" t="s">
        <v>159</v>
      </c>
      <c r="D63" s="221">
        <v>1776</v>
      </c>
      <c r="E63" s="216">
        <f>LOOKUP(B63,'First Recount'!$B$3:$C$69)</f>
        <v>0.0070124400251839955</v>
      </c>
      <c r="F63" s="217">
        <f t="shared" si="2"/>
        <v>12.454093484726776</v>
      </c>
      <c r="G63" s="218">
        <v>0</v>
      </c>
      <c r="H63" s="217">
        <f t="shared" si="3"/>
        <v>0</v>
      </c>
      <c r="I63" s="218">
        <v>0</v>
      </c>
      <c r="J63" s="219">
        <v>0</v>
      </c>
      <c r="K63" s="96">
        <f t="shared" si="4"/>
        <v>12.454093484726776</v>
      </c>
    </row>
    <row r="64" spans="2:11" ht="12.75" customHeight="1">
      <c r="B64" s="193" t="s">
        <v>124</v>
      </c>
      <c r="C64" s="198" t="s">
        <v>161</v>
      </c>
      <c r="D64" s="199">
        <v>4226</v>
      </c>
      <c r="E64" s="188">
        <f>LOOKUP(B64,'First Recount'!$B$3:$C$69)</f>
        <v>0.04100584686100865</v>
      </c>
      <c r="F64" s="201">
        <f t="shared" si="2"/>
        <v>173.29070883462256</v>
      </c>
      <c r="G64" s="211">
        <v>0</v>
      </c>
      <c r="H64" s="201">
        <f t="shared" si="3"/>
        <v>0</v>
      </c>
      <c r="I64" s="211">
        <v>0</v>
      </c>
      <c r="J64" s="189">
        <v>0</v>
      </c>
      <c r="K64" s="224">
        <f t="shared" si="4"/>
      </c>
    </row>
    <row r="65" spans="2:11" ht="12.75" customHeight="1">
      <c r="B65" s="193" t="s">
        <v>125</v>
      </c>
      <c r="C65" s="198" t="s">
        <v>161</v>
      </c>
      <c r="D65" s="198">
        <v>228</v>
      </c>
      <c r="E65" s="188">
        <f>LOOKUP(B65,'First Recount'!$B$3:$C$69)</f>
        <v>-0.09124742473582774</v>
      </c>
      <c r="F65" s="201">
        <f t="shared" si="2"/>
        <v>0</v>
      </c>
      <c r="G65" s="211">
        <v>0</v>
      </c>
      <c r="H65" s="201">
        <f t="shared" si="3"/>
        <v>-20.804412839768723</v>
      </c>
      <c r="I65" s="211">
        <v>0</v>
      </c>
      <c r="J65" s="189">
        <v>0</v>
      </c>
      <c r="K65" s="224">
        <f t="shared" si="4"/>
      </c>
    </row>
    <row r="66" spans="2:11" ht="12.75" customHeight="1">
      <c r="B66" s="193" t="s">
        <v>126</v>
      </c>
      <c r="C66" s="198" t="s">
        <v>161</v>
      </c>
      <c r="D66" s="198">
        <v>83</v>
      </c>
      <c r="E66" s="188">
        <f>LOOKUP(B66,'First Recount'!$B$3:$C$69)</f>
        <v>-0.05280863714598654</v>
      </c>
      <c r="F66" s="201">
        <f t="shared" si="2"/>
        <v>0</v>
      </c>
      <c r="G66" s="211">
        <v>0</v>
      </c>
      <c r="H66" s="201">
        <f t="shared" si="3"/>
        <v>-4.383116883116883</v>
      </c>
      <c r="I66" s="211">
        <v>0</v>
      </c>
      <c r="J66" s="189">
        <v>0</v>
      </c>
      <c r="K66" s="224">
        <f t="shared" si="4"/>
      </c>
    </row>
    <row r="67" spans="2:11" ht="12.75" customHeight="1">
      <c r="B67" s="193" t="s">
        <v>127</v>
      </c>
      <c r="C67" s="198" t="s">
        <v>161</v>
      </c>
      <c r="D67" s="198" t="s">
        <v>142</v>
      </c>
      <c r="E67" s="188">
        <f>LOOKUP(B67,'First Recount'!$B$3:$C$69)</f>
        <v>-0.47848729580731125</v>
      </c>
      <c r="F67" s="201">
        <f t="shared" si="2"/>
        <v>0</v>
      </c>
      <c r="G67" s="211">
        <v>0</v>
      </c>
      <c r="H67" s="201">
        <f t="shared" si="3"/>
        <v>0</v>
      </c>
      <c r="I67" s="211">
        <v>0</v>
      </c>
      <c r="J67" s="189">
        <v>0</v>
      </c>
      <c r="K67" s="224">
        <f t="shared" si="4"/>
      </c>
    </row>
    <row r="68" spans="2:11" s="220" customFormat="1" ht="12.75" customHeight="1">
      <c r="B68" s="214" t="s">
        <v>128</v>
      </c>
      <c r="C68" s="215" t="s">
        <v>159</v>
      </c>
      <c r="D68" s="221">
        <v>1809</v>
      </c>
      <c r="E68" s="216">
        <f>LOOKUP(B68,'First Recount'!$B$3:$C$69)</f>
        <v>-0.06569820368494608</v>
      </c>
      <c r="F68" s="217">
        <f t="shared" si="2"/>
        <v>0</v>
      </c>
      <c r="G68" s="218">
        <v>0</v>
      </c>
      <c r="H68" s="217">
        <f t="shared" si="3"/>
        <v>-118.84805046606746</v>
      </c>
      <c r="I68" s="218">
        <v>0</v>
      </c>
      <c r="J68" s="219">
        <v>0</v>
      </c>
      <c r="K68" s="96">
        <f t="shared" si="4"/>
        <v>-118.84805046606746</v>
      </c>
    </row>
    <row r="69" spans="2:11" ht="12.75" customHeight="1">
      <c r="B69" s="193" t="s">
        <v>129</v>
      </c>
      <c r="C69" s="198" t="s">
        <v>161</v>
      </c>
      <c r="D69" s="198">
        <v>219</v>
      </c>
      <c r="E69" s="188">
        <f>LOOKUP(B69,'First Recount'!$B$3:$C$69)</f>
        <v>-0.12267344112222905</v>
      </c>
      <c r="F69" s="201">
        <f t="shared" si="2"/>
        <v>0</v>
      </c>
      <c r="G69" s="211">
        <v>0</v>
      </c>
      <c r="H69" s="201">
        <f t="shared" si="3"/>
        <v>-26.865483605768162</v>
      </c>
      <c r="I69" s="211">
        <v>0</v>
      </c>
      <c r="J69" s="189">
        <v>0</v>
      </c>
      <c r="K69" s="224">
        <f t="shared" si="4"/>
      </c>
    </row>
    <row r="70" spans="2:11" ht="12.75" customHeight="1">
      <c r="B70" s="193" t="s">
        <v>130</v>
      </c>
      <c r="C70" s="198" t="s">
        <v>161</v>
      </c>
      <c r="D70" s="198">
        <v>337</v>
      </c>
      <c r="E70" s="188">
        <f>LOOKUP(B70,'First Recount'!$B$3:$C$69)</f>
        <v>-0.33949520085318163</v>
      </c>
      <c r="F70" s="201">
        <f t="shared" si="2"/>
        <v>0</v>
      </c>
      <c r="G70" s="211">
        <v>0</v>
      </c>
      <c r="H70" s="201">
        <f t="shared" si="3"/>
        <v>-114.40988268752221</v>
      </c>
      <c r="I70" s="211">
        <v>0</v>
      </c>
      <c r="J70" s="189">
        <v>0</v>
      </c>
      <c r="K70" s="224">
        <f t="shared" si="4"/>
      </c>
    </row>
    <row r="71" spans="2:11" ht="12.75" customHeight="1">
      <c r="B71" s="193" t="s">
        <v>131</v>
      </c>
      <c r="C71" s="198" t="s">
        <v>161</v>
      </c>
      <c r="D71" s="198">
        <v>537</v>
      </c>
      <c r="E71" s="188">
        <f>LOOKUP(B71,'First Recount'!$B$3:$C$69)</f>
        <v>0.08988395725431063</v>
      </c>
      <c r="F71" s="201">
        <f t="shared" si="2"/>
        <v>48.26768504556481</v>
      </c>
      <c r="G71" s="211">
        <v>0</v>
      </c>
      <c r="H71" s="201">
        <f t="shared" si="3"/>
        <v>0</v>
      </c>
      <c r="I71" s="211">
        <v>0</v>
      </c>
      <c r="J71" s="189">
        <v>0</v>
      </c>
      <c r="K71" s="224">
        <f t="shared" si="4"/>
      </c>
    </row>
    <row r="72" spans="2:11" s="220" customFormat="1" ht="12.75" customHeight="1">
      <c r="B72" s="214" t="s">
        <v>132</v>
      </c>
      <c r="C72" s="215" t="s">
        <v>159</v>
      </c>
      <c r="D72" s="215">
        <v>593</v>
      </c>
      <c r="E72" s="216">
        <f>LOOKUP(B72,'First Recount'!$B$3:$C$69)</f>
        <v>-0.1144091159713288</v>
      </c>
      <c r="F72" s="217">
        <f t="shared" si="2"/>
        <v>0</v>
      </c>
      <c r="G72" s="218">
        <v>0</v>
      </c>
      <c r="H72" s="217">
        <f t="shared" si="3"/>
        <v>-67.84460577099797</v>
      </c>
      <c r="I72" s="218">
        <v>0</v>
      </c>
      <c r="J72" s="219">
        <v>0</v>
      </c>
      <c r="K72" s="96">
        <f t="shared" si="4"/>
        <v>-67.84460577099797</v>
      </c>
    </row>
    <row r="73" spans="2:11" ht="12.75" customHeight="1">
      <c r="B73" s="193" t="s">
        <v>133</v>
      </c>
      <c r="C73" s="198" t="s">
        <v>161</v>
      </c>
      <c r="D73" s="198">
        <v>42</v>
      </c>
      <c r="E73" s="188">
        <f>LOOKUP(B73,'First Recount'!$B$3:$C$69)</f>
        <v>-0.3254447662391394</v>
      </c>
      <c r="F73" s="201">
        <f t="shared" si="2"/>
        <v>0</v>
      </c>
      <c r="G73" s="211">
        <v>0</v>
      </c>
      <c r="H73" s="201">
        <f t="shared" si="3"/>
        <v>-13.668680182043856</v>
      </c>
      <c r="I73" s="211">
        <v>0</v>
      </c>
      <c r="J73" s="189">
        <v>0</v>
      </c>
      <c r="K73" s="224">
        <f t="shared" si="4"/>
      </c>
    </row>
    <row r="74" spans="2:11" ht="12.75" customHeight="1">
      <c r="B74" s="193" t="s">
        <v>134</v>
      </c>
      <c r="C74" s="198" t="s">
        <v>161</v>
      </c>
      <c r="D74" s="198">
        <v>82</v>
      </c>
      <c r="E74" s="188">
        <f>LOOKUP(B74,'First Recount'!$B$3:$C$69)</f>
        <v>-0.21007902191739974</v>
      </c>
      <c r="F74" s="201">
        <f t="shared" si="2"/>
        <v>0</v>
      </c>
      <c r="G74" s="211">
        <v>0</v>
      </c>
      <c r="H74" s="201">
        <f t="shared" si="3"/>
        <v>-17.22647979722678</v>
      </c>
      <c r="I74" s="211">
        <v>0</v>
      </c>
      <c r="J74" s="189">
        <v>0</v>
      </c>
      <c r="K74" s="224">
        <f t="shared" si="4"/>
      </c>
    </row>
    <row r="75" spans="2:11" ht="12.75" customHeight="1">
      <c r="B75" s="193" t="s">
        <v>135</v>
      </c>
      <c r="C75" s="198" t="s">
        <v>161</v>
      </c>
      <c r="D75" s="198">
        <v>258</v>
      </c>
      <c r="E75" s="188">
        <f>LOOKUP(B75,'First Recount'!$B$3:$C$69)</f>
        <v>-0.24739235089596148</v>
      </c>
      <c r="F75" s="201">
        <f t="shared" si="2"/>
        <v>0</v>
      </c>
      <c r="G75" s="211">
        <v>0</v>
      </c>
      <c r="H75" s="201">
        <f t="shared" si="3"/>
        <v>-63.82722653115806</v>
      </c>
      <c r="I75" s="211">
        <v>0</v>
      </c>
      <c r="J75" s="189">
        <v>0</v>
      </c>
      <c r="K75" s="224">
        <f t="shared" si="4"/>
      </c>
    </row>
    <row r="76" spans="2:11" ht="12.75" customHeight="1">
      <c r="B76" s="193" t="s">
        <v>136</v>
      </c>
      <c r="C76" s="198" t="s">
        <v>161</v>
      </c>
      <c r="D76" s="198">
        <v>0</v>
      </c>
      <c r="E76" s="188">
        <f>LOOKUP(B76,'First Recount'!$B$3:$C$69)</f>
        <v>0.0831751826848693</v>
      </c>
      <c r="F76" s="201">
        <f t="shared" si="2"/>
        <v>0</v>
      </c>
      <c r="G76" s="211">
        <v>0</v>
      </c>
      <c r="H76" s="201">
        <f t="shared" si="3"/>
        <v>0</v>
      </c>
      <c r="I76" s="211">
        <v>0</v>
      </c>
      <c r="J76" s="189">
        <v>0</v>
      </c>
      <c r="K76" s="224">
        <f t="shared" si="4"/>
      </c>
    </row>
    <row r="77" spans="2:11" ht="12.75" customHeight="1">
      <c r="B77" s="193" t="s">
        <v>137</v>
      </c>
      <c r="C77" s="198" t="s">
        <v>160</v>
      </c>
      <c r="D77" s="198" t="s">
        <v>142</v>
      </c>
      <c r="E77" s="188">
        <f>LOOKUP(B77,'First Recount'!$B$3:$C$69)</f>
        <v>-0.0807185628742515</v>
      </c>
      <c r="F77" s="201">
        <f t="shared" si="2"/>
        <v>0</v>
      </c>
      <c r="G77" s="211">
        <v>0</v>
      </c>
      <c r="H77" s="201">
        <f t="shared" si="3"/>
        <v>0</v>
      </c>
      <c r="I77" s="211">
        <v>0</v>
      </c>
      <c r="J77" s="189">
        <v>0</v>
      </c>
      <c r="K77" s="224">
        <f t="shared" si="4"/>
      </c>
    </row>
    <row r="78" spans="2:11" ht="12.75" customHeight="1">
      <c r="B78" s="193" t="s">
        <v>138</v>
      </c>
      <c r="C78" s="198" t="s">
        <v>161</v>
      </c>
      <c r="D78" s="198">
        <v>133</v>
      </c>
      <c r="E78" s="188">
        <f>LOOKUP(B78,'First Recount'!$B$3:$C$69)</f>
        <v>-0.36698637051993943</v>
      </c>
      <c r="F78" s="201">
        <f>IF(D78="-",0,IF(E78&lt;0,0,E78*D78))</f>
        <v>0</v>
      </c>
      <c r="G78" s="211">
        <v>0</v>
      </c>
      <c r="H78" s="201">
        <f>IF(D78="-",0,IF(E78&gt;0,0,E78*D78))</f>
        <v>-48.80918727915194</v>
      </c>
      <c r="I78" s="211">
        <v>0</v>
      </c>
      <c r="J78" s="189">
        <v>0</v>
      </c>
      <c r="K78" s="224">
        <f t="shared" si="4"/>
      </c>
    </row>
    <row r="79" spans="2:11" ht="12.75" customHeight="1" thickBot="1">
      <c r="B79" s="194" t="s">
        <v>139</v>
      </c>
      <c r="C79" s="200" t="s">
        <v>161</v>
      </c>
      <c r="D79" s="200">
        <v>292</v>
      </c>
      <c r="E79" s="190">
        <f>LOOKUP(B79,'First Recount'!$B$3:$C$69)</f>
        <v>-0.28191967150006414</v>
      </c>
      <c r="F79" s="202">
        <f>IF(D79="-",0,IF(E79&lt;0,0,E79*D79))</f>
        <v>0</v>
      </c>
      <c r="G79" s="212">
        <v>0</v>
      </c>
      <c r="H79" s="202">
        <f>IF(D79="-",0,IF(E79&gt;0,0,E79*D79))</f>
        <v>-82.32054407801873</v>
      </c>
      <c r="I79" s="212">
        <v>0</v>
      </c>
      <c r="J79" s="191">
        <v>0</v>
      </c>
      <c r="K79" s="224">
        <f t="shared" si="4"/>
      </c>
    </row>
    <row r="80" spans="6:7" ht="12.75" customHeight="1">
      <c r="F80" s="164"/>
      <c r="G80" s="164"/>
    </row>
    <row r="81" spans="9:11" ht="12.75" customHeight="1">
      <c r="I81" s="63" t="s">
        <v>23</v>
      </c>
      <c r="J81" s="225">
        <f ca="1">TODAY()</f>
        <v>36871</v>
      </c>
      <c r="K81" s="29">
        <f ca="1">NOW()</f>
        <v>36871.606433333334</v>
      </c>
    </row>
  </sheetData>
  <printOptions/>
  <pageMargins left="1.72" right="0.75" top="1" bottom="1" header="0.5" footer="0.5"/>
  <pageSetup fitToHeight="1" fitToWidth="1" horizontalDpi="300" verticalDpi="3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workbookViewId="0" topLeftCell="A1">
      <selection activeCell="E4" sqref="E4"/>
    </sheetView>
  </sheetViews>
  <sheetFormatPr defaultColWidth="9.140625" defaultRowHeight="13.5" customHeight="1"/>
  <cols>
    <col min="1" max="1" width="4.28125" style="44" customWidth="1"/>
    <col min="2" max="2" width="15.57421875" style="3" customWidth="1"/>
    <col min="3" max="3" width="4.28125" style="3" customWidth="1"/>
    <col min="4" max="4" width="10.28125" style="2" customWidth="1"/>
    <col min="5" max="5" width="12.140625" style="2" customWidth="1"/>
    <col min="6" max="7" width="11.00390625" style="2" customWidth="1"/>
    <col min="8" max="8" width="9.8515625" style="2" customWidth="1"/>
    <col min="9" max="10" width="10.57421875" style="2" customWidth="1"/>
    <col min="11" max="11" width="11.140625" style="6" customWidth="1"/>
    <col min="12" max="12" width="10.8515625" style="6" customWidth="1"/>
    <col min="13" max="13" width="4.28125" style="6" customWidth="1"/>
    <col min="14" max="14" width="4.421875" style="41" customWidth="1"/>
    <col min="15" max="15" width="11.140625" style="6" customWidth="1"/>
    <col min="16" max="16" width="3.7109375" style="2" customWidth="1"/>
    <col min="17" max="17" width="10.00390625" style="2" customWidth="1"/>
    <col min="18" max="18" width="12.7109375" style="2" customWidth="1"/>
    <col min="19" max="19" width="4.421875" style="4" customWidth="1"/>
    <col min="20" max="20" width="4.57421875" style="4" customWidth="1"/>
    <col min="21" max="21" width="9.28125" style="4" customWidth="1"/>
    <col min="22" max="22" width="3.8515625" style="2" customWidth="1"/>
    <col min="23" max="23" width="9.140625" style="2" customWidth="1"/>
    <col min="24" max="25" width="10.140625" style="1" customWidth="1"/>
    <col min="26" max="16384" width="9.140625" style="1" customWidth="1"/>
  </cols>
  <sheetData>
    <row r="1" spans="2:12" ht="13.5" customHeight="1">
      <c r="B1" s="121"/>
      <c r="C1" s="122"/>
      <c r="D1" s="123"/>
      <c r="F1" s="1"/>
      <c r="G1" s="1"/>
      <c r="H1" s="1"/>
      <c r="J1" s="132"/>
      <c r="K1" s="133"/>
      <c r="L1" s="134"/>
    </row>
    <row r="2" spans="2:25" ht="13.5" customHeight="1" thickBot="1">
      <c r="B2" s="47" t="s">
        <v>24</v>
      </c>
      <c r="C2" s="1"/>
      <c r="D2" s="1"/>
      <c r="E2" s="10">
        <f>+D4-E4</f>
        <v>328696</v>
      </c>
      <c r="F2" s="16"/>
      <c r="G2" s="1"/>
      <c r="H2" s="1"/>
      <c r="I2" s="1"/>
      <c r="J2" s="1"/>
      <c r="K2" s="1"/>
      <c r="L2" s="1"/>
      <c r="M2" s="1"/>
      <c r="P2" s="1"/>
      <c r="X2" s="2"/>
      <c r="Y2" s="4"/>
    </row>
    <row r="3" spans="2:16" ht="13.5" customHeight="1" thickBot="1">
      <c r="B3" s="26"/>
      <c r="C3" s="36"/>
      <c r="D3" s="7" t="s">
        <v>1</v>
      </c>
      <c r="E3" s="24" t="s">
        <v>2</v>
      </c>
      <c r="F3" s="135"/>
      <c r="G3" s="1"/>
      <c r="H3" s="1"/>
      <c r="I3" s="1"/>
      <c r="J3" s="1"/>
      <c r="K3" s="1"/>
      <c r="L3" s="1"/>
      <c r="M3" s="1"/>
      <c r="P3" s="1"/>
    </row>
    <row r="4" spans="2:16" ht="13.5" customHeight="1">
      <c r="B4" s="127"/>
      <c r="C4" s="112" t="s">
        <v>66</v>
      </c>
      <c r="D4" s="19">
        <v>50133912</v>
      </c>
      <c r="E4" s="128">
        <v>49805216</v>
      </c>
      <c r="F4" s="136"/>
      <c r="G4" s="1"/>
      <c r="H4" s="124" t="s">
        <v>64</v>
      </c>
      <c r="I4" s="125"/>
      <c r="J4" s="126"/>
      <c r="K4" s="1"/>
      <c r="L4" s="1"/>
      <c r="M4" s="1"/>
      <c r="P4" s="1"/>
    </row>
    <row r="5" spans="2:16" ht="13.5" customHeight="1" thickBot="1">
      <c r="B5" s="127"/>
      <c r="C5" s="112" t="s">
        <v>65</v>
      </c>
      <c r="D5" s="19">
        <v>2912253</v>
      </c>
      <c r="E5" s="128">
        <v>2912790</v>
      </c>
      <c r="F5" s="137"/>
      <c r="G5" s="1"/>
      <c r="H5" s="81" t="s">
        <v>10</v>
      </c>
      <c r="I5" s="77"/>
      <c r="J5" s="138">
        <f>E5-D5</f>
        <v>537</v>
      </c>
      <c r="K5" s="1"/>
      <c r="L5" s="1"/>
      <c r="M5" s="1"/>
      <c r="P5" s="1"/>
    </row>
    <row r="6" spans="2:16" ht="13.5" customHeight="1" thickBot="1">
      <c r="B6" s="129"/>
      <c r="C6" s="130" t="s">
        <v>67</v>
      </c>
      <c r="D6" s="12">
        <v>267</v>
      </c>
      <c r="E6" s="131">
        <v>271</v>
      </c>
      <c r="G6" s="6"/>
      <c r="H6" s="6"/>
      <c r="I6" s="6"/>
      <c r="J6" s="1"/>
      <c r="K6" s="1"/>
      <c r="L6" s="1"/>
      <c r="M6" s="1"/>
      <c r="P6" s="1"/>
    </row>
    <row r="7" spans="2:16" ht="13.5" customHeight="1">
      <c r="B7" s="27">
        <f>D4+E4</f>
        <v>99939128</v>
      </c>
      <c r="C7" s="1"/>
      <c r="D7" s="9"/>
      <c r="E7" s="9"/>
      <c r="G7" s="6"/>
      <c r="H7" s="6"/>
      <c r="I7" s="6"/>
      <c r="J7" s="1"/>
      <c r="K7" s="1"/>
      <c r="L7" s="1"/>
      <c r="M7" s="1"/>
      <c r="P7" s="1"/>
    </row>
    <row r="8" spans="1:14" ht="13.5" customHeight="1" thickBot="1">
      <c r="A8" s="68"/>
      <c r="F8" s="51">
        <f>+F29-G29</f>
        <v>393</v>
      </c>
      <c r="G8" s="6"/>
      <c r="I8" s="71"/>
      <c r="J8" s="21"/>
      <c r="M8" s="25"/>
      <c r="N8" s="42"/>
    </row>
    <row r="9" spans="1:14" ht="13.5" customHeight="1" thickBot="1">
      <c r="A9" s="69"/>
      <c r="C9" s="1"/>
      <c r="D9" s="1"/>
      <c r="E9" s="9"/>
      <c r="F9" s="52" t="s">
        <v>27</v>
      </c>
      <c r="G9" s="30"/>
      <c r="H9" s="6"/>
      <c r="I9" s="6"/>
      <c r="J9" s="6"/>
      <c r="K9" s="72" t="s">
        <v>42</v>
      </c>
      <c r="L9" s="73" t="s">
        <v>14</v>
      </c>
      <c r="M9" s="2"/>
      <c r="N9" s="42"/>
    </row>
    <row r="10" spans="1:14" ht="13.5" customHeight="1">
      <c r="A10" s="70"/>
      <c r="B10" s="5"/>
      <c r="C10" s="40"/>
      <c r="D10" s="53" t="s">
        <v>3</v>
      </c>
      <c r="E10" s="53" t="s">
        <v>11</v>
      </c>
      <c r="F10" s="54" t="s">
        <v>7</v>
      </c>
      <c r="G10" s="55" t="s">
        <v>8</v>
      </c>
      <c r="H10" s="56" t="s">
        <v>19</v>
      </c>
      <c r="I10" s="53" t="s">
        <v>20</v>
      </c>
      <c r="J10" s="53" t="s">
        <v>21</v>
      </c>
      <c r="K10" s="57" t="s">
        <v>12</v>
      </c>
      <c r="L10" s="74" t="s">
        <v>17</v>
      </c>
      <c r="M10" s="2"/>
      <c r="N10" s="42"/>
    </row>
    <row r="11" spans="1:14" ht="13.5" customHeight="1">
      <c r="A11" s="9"/>
      <c r="B11" s="67" t="s">
        <v>0</v>
      </c>
      <c r="C11" s="38">
        <v>-4</v>
      </c>
      <c r="D11" s="152">
        <v>609</v>
      </c>
      <c r="E11" s="152">
        <v>609</v>
      </c>
      <c r="F11" s="153">
        <f>137+I11</f>
        <v>567</v>
      </c>
      <c r="G11" s="152">
        <f>0+J11</f>
        <v>0</v>
      </c>
      <c r="H11" s="99">
        <v>2422</v>
      </c>
      <c r="I11" s="97">
        <v>430</v>
      </c>
      <c r="J11" s="97">
        <v>0</v>
      </c>
      <c r="K11" s="103">
        <v>2422</v>
      </c>
      <c r="L11" s="102">
        <f>SUM(F11:G11)/K33</f>
        <v>35.4375</v>
      </c>
      <c r="M11" s="15"/>
      <c r="N11" s="42"/>
    </row>
    <row r="12" spans="1:14" ht="13.5" customHeight="1">
      <c r="A12" s="9"/>
      <c r="B12" s="119" t="s">
        <v>62</v>
      </c>
      <c r="C12" s="120">
        <v>-5</v>
      </c>
      <c r="D12" s="154">
        <v>637</v>
      </c>
      <c r="E12" s="154">
        <v>637</v>
      </c>
      <c r="F12" s="155">
        <f>0+I12</f>
        <v>215</v>
      </c>
      <c r="G12" s="156">
        <f>0+J12</f>
        <v>0</v>
      </c>
      <c r="H12" s="116">
        <v>14500</v>
      </c>
      <c r="I12" s="115">
        <v>215</v>
      </c>
      <c r="J12" s="115">
        <v>0</v>
      </c>
      <c r="K12" s="117">
        <v>14500</v>
      </c>
      <c r="L12" s="118">
        <f>SUM(F12:G12)/K34</f>
        <v>23.88888888888889</v>
      </c>
      <c r="M12" s="15"/>
      <c r="N12" s="42"/>
    </row>
    <row r="13" spans="1:14" ht="13.5" customHeight="1">
      <c r="A13" s="45"/>
      <c r="B13" s="48" t="s">
        <v>29</v>
      </c>
      <c r="C13" s="38">
        <v>-1</v>
      </c>
      <c r="D13" s="157">
        <v>47</v>
      </c>
      <c r="E13" s="157">
        <v>47</v>
      </c>
      <c r="F13" s="158">
        <f aca="true" t="shared" si="0" ref="F13:F25">0+I13</f>
        <v>5</v>
      </c>
      <c r="G13" s="159">
        <f aca="true" t="shared" si="1" ref="G13:G28">0+J13</f>
        <v>7</v>
      </c>
      <c r="H13" s="104">
        <v>12</v>
      </c>
      <c r="I13" s="100">
        <v>5</v>
      </c>
      <c r="J13" s="100">
        <v>7</v>
      </c>
      <c r="K13" s="105">
        <v>12</v>
      </c>
      <c r="L13" s="106">
        <f>SUM(F13:G13)/K35</f>
        <v>0.6</v>
      </c>
      <c r="M13" s="15"/>
      <c r="N13" s="42"/>
    </row>
    <row r="14" spans="1:14" ht="13.5" customHeight="1">
      <c r="A14" s="45"/>
      <c r="B14" s="48" t="s">
        <v>30</v>
      </c>
      <c r="C14" s="38">
        <v>-1</v>
      </c>
      <c r="D14" s="157">
        <v>177</v>
      </c>
      <c r="E14" s="157">
        <v>177</v>
      </c>
      <c r="F14" s="158">
        <f t="shared" si="0"/>
        <v>6</v>
      </c>
      <c r="G14" s="159">
        <f t="shared" si="1"/>
        <v>14</v>
      </c>
      <c r="H14" s="104">
        <v>20</v>
      </c>
      <c r="I14" s="100">
        <v>6</v>
      </c>
      <c r="J14" s="100">
        <v>14</v>
      </c>
      <c r="K14" s="105">
        <v>20</v>
      </c>
      <c r="L14" s="106">
        <f>SUM(F14:G14)/K36</f>
        <v>0.5405405405405406</v>
      </c>
      <c r="M14" s="15"/>
      <c r="N14" s="42"/>
    </row>
    <row r="15" spans="1:14" ht="13.5" customHeight="1">
      <c r="A15" s="45"/>
      <c r="B15" s="58" t="s">
        <v>25</v>
      </c>
      <c r="C15" s="38">
        <v>-1</v>
      </c>
      <c r="D15" s="157">
        <v>51</v>
      </c>
      <c r="E15" s="157">
        <v>51</v>
      </c>
      <c r="F15" s="158">
        <f t="shared" si="0"/>
        <v>1</v>
      </c>
      <c r="G15" s="159">
        <f t="shared" si="1"/>
        <v>13</v>
      </c>
      <c r="H15" s="104">
        <v>14</v>
      </c>
      <c r="I15" s="100">
        <v>1</v>
      </c>
      <c r="J15" s="100">
        <v>13</v>
      </c>
      <c r="K15" s="105">
        <v>17</v>
      </c>
      <c r="L15" s="106">
        <f>SUM(F15:G15)/K37</f>
        <v>0.11764705882352941</v>
      </c>
      <c r="M15" s="15"/>
      <c r="N15" s="42"/>
    </row>
    <row r="16" spans="1:14" ht="13.5" customHeight="1">
      <c r="A16" s="45"/>
      <c r="B16" s="58" t="s">
        <v>46</v>
      </c>
      <c r="C16" s="38">
        <v>-1</v>
      </c>
      <c r="D16" s="157">
        <v>35</v>
      </c>
      <c r="E16" s="157">
        <v>35</v>
      </c>
      <c r="F16" s="158">
        <f>0+I16</f>
        <v>0</v>
      </c>
      <c r="G16" s="159">
        <f>0+J16</f>
        <v>1</v>
      </c>
      <c r="H16" s="104">
        <v>1</v>
      </c>
      <c r="I16" s="100">
        <v>0</v>
      </c>
      <c r="J16" s="100">
        <v>1</v>
      </c>
      <c r="K16" s="105">
        <v>1</v>
      </c>
      <c r="L16" s="106">
        <f>SUM(F16:G16)/K39</f>
        <v>0.5</v>
      </c>
      <c r="M16" s="15"/>
      <c r="N16" s="42"/>
    </row>
    <row r="17" spans="1:14" ht="13.5" customHeight="1">
      <c r="A17" s="45"/>
      <c r="B17" s="48" t="s">
        <v>33</v>
      </c>
      <c r="C17" s="38">
        <v>-1</v>
      </c>
      <c r="D17" s="157">
        <v>96</v>
      </c>
      <c r="E17" s="157">
        <v>96</v>
      </c>
      <c r="F17" s="158">
        <f>0+I17</f>
        <v>1</v>
      </c>
      <c r="G17" s="159">
        <f>0+J17</f>
        <v>16</v>
      </c>
      <c r="H17" s="104">
        <v>17</v>
      </c>
      <c r="I17" s="100">
        <v>1</v>
      </c>
      <c r="J17" s="100">
        <v>16</v>
      </c>
      <c r="K17" s="105">
        <v>43</v>
      </c>
      <c r="L17" s="106">
        <f>SUM(F17:G17)/K39</f>
        <v>8.5</v>
      </c>
      <c r="M17" s="15"/>
      <c r="N17" s="42"/>
    </row>
    <row r="18" spans="1:14" ht="13.5" customHeight="1">
      <c r="A18" s="45"/>
      <c r="B18" s="58" t="s">
        <v>32</v>
      </c>
      <c r="C18" s="38">
        <v>-1</v>
      </c>
      <c r="D18" s="157">
        <v>268</v>
      </c>
      <c r="E18" s="157">
        <v>268</v>
      </c>
      <c r="F18" s="158">
        <f t="shared" si="0"/>
        <v>24</v>
      </c>
      <c r="G18" s="159">
        <f t="shared" si="1"/>
        <v>44</v>
      </c>
      <c r="H18" s="104">
        <v>68</v>
      </c>
      <c r="I18" s="100">
        <v>24</v>
      </c>
      <c r="J18" s="100">
        <v>44</v>
      </c>
      <c r="K18" s="105">
        <v>81</v>
      </c>
      <c r="L18" s="106">
        <f>SUM(F18:G18)/K40</f>
        <v>0.40718562874251496</v>
      </c>
      <c r="M18" s="15"/>
      <c r="N18" s="42"/>
    </row>
    <row r="19" spans="1:14" ht="13.5" customHeight="1">
      <c r="A19" s="45"/>
      <c r="B19" s="48" t="s">
        <v>34</v>
      </c>
      <c r="C19" s="38">
        <v>-1</v>
      </c>
      <c r="D19" s="157">
        <v>108</v>
      </c>
      <c r="E19" s="157">
        <v>108</v>
      </c>
      <c r="F19" s="158">
        <f>0+I19</f>
        <v>0</v>
      </c>
      <c r="G19" s="159">
        <f>0+J19</f>
        <v>36</v>
      </c>
      <c r="H19" s="104">
        <v>36</v>
      </c>
      <c r="I19" s="100">
        <v>0</v>
      </c>
      <c r="J19" s="100">
        <v>36</v>
      </c>
      <c r="K19" s="105">
        <v>54</v>
      </c>
      <c r="L19" s="106">
        <f>SUM(F19:G19)/K41</f>
        <v>0.5070422535211268</v>
      </c>
      <c r="M19" s="15"/>
      <c r="N19" s="42"/>
    </row>
    <row r="20" spans="1:14" ht="13.5" customHeight="1">
      <c r="A20" s="45"/>
      <c r="B20" s="58" t="s">
        <v>28</v>
      </c>
      <c r="C20" s="38">
        <v>-1</v>
      </c>
      <c r="D20" s="157">
        <v>95</v>
      </c>
      <c r="E20" s="157">
        <v>95</v>
      </c>
      <c r="F20" s="158">
        <f t="shared" si="0"/>
        <v>0</v>
      </c>
      <c r="G20" s="159">
        <f t="shared" si="1"/>
        <v>0</v>
      </c>
      <c r="H20" s="104">
        <v>0</v>
      </c>
      <c r="I20" s="100">
        <v>0</v>
      </c>
      <c r="J20" s="100">
        <v>0</v>
      </c>
      <c r="K20" s="105">
        <v>0</v>
      </c>
      <c r="L20" s="106">
        <f>SUM(F20:G20)/K42</f>
        <v>0</v>
      </c>
      <c r="M20" s="15"/>
      <c r="N20" s="42"/>
    </row>
    <row r="21" spans="1:14" ht="13.5" customHeight="1">
      <c r="A21" s="45"/>
      <c r="B21" s="58" t="s">
        <v>31</v>
      </c>
      <c r="C21" s="38">
        <v>-1</v>
      </c>
      <c r="D21" s="157">
        <v>48</v>
      </c>
      <c r="E21" s="157">
        <v>48</v>
      </c>
      <c r="F21" s="158">
        <f t="shared" si="0"/>
        <v>0</v>
      </c>
      <c r="G21" s="159">
        <f t="shared" si="1"/>
        <v>1</v>
      </c>
      <c r="H21" s="104">
        <v>2</v>
      </c>
      <c r="I21" s="100">
        <v>0</v>
      </c>
      <c r="J21" s="100">
        <v>1</v>
      </c>
      <c r="K21" s="105">
        <v>2</v>
      </c>
      <c r="L21" s="106">
        <f>SUM(F21:G21)/K43</f>
        <v>0.0196078431372549</v>
      </c>
      <c r="M21" s="15"/>
      <c r="N21" s="42"/>
    </row>
    <row r="22" spans="1:14" ht="13.5" customHeight="1">
      <c r="A22" s="45"/>
      <c r="B22" s="58" t="s">
        <v>45</v>
      </c>
      <c r="C22" s="38">
        <v>-1</v>
      </c>
      <c r="D22" s="157">
        <v>163</v>
      </c>
      <c r="E22" s="157">
        <v>163</v>
      </c>
      <c r="F22" s="158">
        <f aca="true" t="shared" si="2" ref="F22:G24">0+I22</f>
        <v>0</v>
      </c>
      <c r="G22" s="159">
        <f t="shared" si="2"/>
        <v>1</v>
      </c>
      <c r="H22" s="104">
        <v>2</v>
      </c>
      <c r="I22" s="100">
        <v>0</v>
      </c>
      <c r="J22" s="100">
        <v>1</v>
      </c>
      <c r="K22" s="105">
        <v>1</v>
      </c>
      <c r="L22" s="106">
        <f>SUM(F22:G22)/K45</f>
        <v>0.045454545454545456</v>
      </c>
      <c r="M22" s="15"/>
      <c r="N22" s="42"/>
    </row>
    <row r="23" spans="1:14" ht="13.5" customHeight="1">
      <c r="A23" s="45"/>
      <c r="B23" s="58" t="s">
        <v>44</v>
      </c>
      <c r="C23" s="38">
        <v>-1</v>
      </c>
      <c r="D23" s="157">
        <v>135</v>
      </c>
      <c r="E23" s="157">
        <v>135</v>
      </c>
      <c r="F23" s="158">
        <f t="shared" si="2"/>
        <v>0</v>
      </c>
      <c r="G23" s="159">
        <f t="shared" si="2"/>
        <v>4</v>
      </c>
      <c r="H23" s="104">
        <v>29</v>
      </c>
      <c r="I23" s="100">
        <v>0</v>
      </c>
      <c r="J23" s="100">
        <v>4</v>
      </c>
      <c r="K23" s="105">
        <v>29</v>
      </c>
      <c r="L23" s="106">
        <f>SUM(F23:G23)/K45</f>
        <v>0.18181818181818182</v>
      </c>
      <c r="M23" s="15"/>
      <c r="N23" s="42"/>
    </row>
    <row r="24" spans="1:14" ht="13.5" customHeight="1">
      <c r="A24" s="45"/>
      <c r="B24" s="58" t="s">
        <v>68</v>
      </c>
      <c r="C24" s="38">
        <v>-1</v>
      </c>
      <c r="D24" s="157">
        <v>345</v>
      </c>
      <c r="E24" s="157">
        <v>345</v>
      </c>
      <c r="F24" s="158">
        <f t="shared" si="2"/>
        <v>0</v>
      </c>
      <c r="G24" s="159">
        <f t="shared" si="2"/>
        <v>1</v>
      </c>
      <c r="H24" s="104">
        <v>1</v>
      </c>
      <c r="I24" s="100">
        <v>0</v>
      </c>
      <c r="J24" s="100">
        <v>1</v>
      </c>
      <c r="K24" s="105">
        <v>1</v>
      </c>
      <c r="L24" s="106">
        <f>SUM(F24:G24)/K47</f>
        <v>0.07692307692307693</v>
      </c>
      <c r="M24" s="15"/>
      <c r="N24" s="42"/>
    </row>
    <row r="25" spans="1:14" ht="13.5" customHeight="1">
      <c r="A25" s="45"/>
      <c r="B25" s="58" t="s">
        <v>43</v>
      </c>
      <c r="C25" s="38">
        <v>-1</v>
      </c>
      <c r="D25" s="157">
        <v>48</v>
      </c>
      <c r="E25" s="157">
        <v>48</v>
      </c>
      <c r="F25" s="158">
        <f t="shared" si="0"/>
        <v>0</v>
      </c>
      <c r="G25" s="159">
        <f t="shared" si="1"/>
        <v>6</v>
      </c>
      <c r="H25" s="104">
        <v>6</v>
      </c>
      <c r="I25" s="100">
        <v>0</v>
      </c>
      <c r="J25" s="100">
        <v>6</v>
      </c>
      <c r="K25" s="105">
        <v>19</v>
      </c>
      <c r="L25" s="106">
        <f>SUM(F25:G25)/K47</f>
        <v>0.46153846153846156</v>
      </c>
      <c r="M25" s="15"/>
      <c r="N25" s="42"/>
    </row>
    <row r="26" spans="1:14" ht="13.5" customHeight="1">
      <c r="A26" s="45"/>
      <c r="B26" s="58" t="s">
        <v>35</v>
      </c>
      <c r="C26" s="38">
        <v>-1</v>
      </c>
      <c r="D26" s="157">
        <v>36</v>
      </c>
      <c r="E26" s="157">
        <v>36</v>
      </c>
      <c r="F26" s="158">
        <f>0+I26</f>
        <v>0</v>
      </c>
      <c r="G26" s="159">
        <f>0+J26</f>
        <v>21</v>
      </c>
      <c r="H26" s="104">
        <v>21</v>
      </c>
      <c r="I26" s="100">
        <v>0</v>
      </c>
      <c r="J26" s="100">
        <v>21</v>
      </c>
      <c r="K26" s="105">
        <v>21</v>
      </c>
      <c r="L26" s="106">
        <f>SUM(F26:G26)/K48</f>
        <v>0.75</v>
      </c>
      <c r="M26" s="15"/>
      <c r="N26" s="42"/>
    </row>
    <row r="27" spans="1:14" ht="13.5" customHeight="1">
      <c r="A27" s="45"/>
      <c r="B27" s="48" t="s">
        <v>26</v>
      </c>
      <c r="C27" s="38">
        <v>-3</v>
      </c>
      <c r="D27" s="157">
        <v>21</v>
      </c>
      <c r="E27" s="157">
        <v>21</v>
      </c>
      <c r="F27" s="158">
        <f>0+I27</f>
        <v>74</v>
      </c>
      <c r="G27" s="159">
        <f>0+J27</f>
        <v>126</v>
      </c>
      <c r="H27" s="104">
        <v>200</v>
      </c>
      <c r="I27" s="100">
        <v>74</v>
      </c>
      <c r="J27" s="100">
        <v>126</v>
      </c>
      <c r="K27" s="105">
        <v>200</v>
      </c>
      <c r="L27" s="106">
        <f>SUM(F27:G27)/K42</f>
        <v>33.333333333333336</v>
      </c>
      <c r="M27" s="15"/>
      <c r="N27" s="42"/>
    </row>
    <row r="28" spans="1:14" ht="13.5" customHeight="1" thickBot="1">
      <c r="A28" s="45"/>
      <c r="B28" s="50" t="s">
        <v>60</v>
      </c>
      <c r="C28" s="39">
        <v>-2</v>
      </c>
      <c r="D28" s="160">
        <v>614</v>
      </c>
      <c r="E28" s="160">
        <v>135</v>
      </c>
      <c r="F28" s="161">
        <f>151+I28</f>
        <v>157</v>
      </c>
      <c r="G28" s="162">
        <f t="shared" si="1"/>
        <v>0</v>
      </c>
      <c r="H28" s="32">
        <v>0</v>
      </c>
      <c r="I28" s="98">
        <v>6</v>
      </c>
      <c r="J28" s="31">
        <v>0</v>
      </c>
      <c r="K28" s="33">
        <v>10750</v>
      </c>
      <c r="L28" s="114">
        <f>SUM(F28:G28)/K50</f>
        <v>8.722222222222221</v>
      </c>
      <c r="M28" s="20"/>
      <c r="N28" s="42"/>
    </row>
    <row r="29" spans="5:18" ht="13.5" customHeight="1">
      <c r="E29" s="107"/>
      <c r="F29" s="101">
        <f>SUM(F11,F13:F27)+I28</f>
        <v>684</v>
      </c>
      <c r="G29" s="101">
        <f>SUM(G11,G13:G27)</f>
        <v>291</v>
      </c>
      <c r="H29" s="107">
        <f>SUM(H11,H13:H27)/SUM(K11,K13:K27)</f>
        <v>0.9753677728361273</v>
      </c>
      <c r="I29" s="101">
        <f>SUM(I11,I13:I28)</f>
        <v>547</v>
      </c>
      <c r="J29" s="101">
        <f>SUM(J11,J13:J28)</f>
        <v>291</v>
      </c>
      <c r="K29" s="101">
        <f>SUM(K11,K13:K27)</f>
        <v>2923</v>
      </c>
      <c r="L29" s="17"/>
      <c r="N29" s="42"/>
      <c r="P29" s="18"/>
      <c r="R29" s="6"/>
    </row>
    <row r="30" spans="5:18" ht="13.5" customHeight="1">
      <c r="E30" s="107"/>
      <c r="F30" s="101"/>
      <c r="G30" s="108"/>
      <c r="H30" s="107"/>
      <c r="I30" s="101"/>
      <c r="J30" s="101"/>
      <c r="K30" s="101"/>
      <c r="L30" s="17"/>
      <c r="N30" s="42"/>
      <c r="P30" s="18"/>
      <c r="R30" s="6"/>
    </row>
    <row r="31" spans="6:18" ht="13.5" customHeight="1" thickBot="1">
      <c r="F31" s="23"/>
      <c r="I31" s="9"/>
      <c r="J31" s="76" t="s">
        <v>18</v>
      </c>
      <c r="K31" s="73" t="s">
        <v>15</v>
      </c>
      <c r="R31" s="6"/>
    </row>
    <row r="32" spans="2:18" ht="13.5" customHeight="1">
      <c r="B32" s="5"/>
      <c r="C32" s="40"/>
      <c r="D32" s="59" t="s">
        <v>5</v>
      </c>
      <c r="E32" s="59" t="s">
        <v>9</v>
      </c>
      <c r="F32" s="59" t="s">
        <v>4</v>
      </c>
      <c r="G32" s="35" t="s">
        <v>1</v>
      </c>
      <c r="H32" s="60" t="s">
        <v>6</v>
      </c>
      <c r="I32" s="35" t="s">
        <v>2</v>
      </c>
      <c r="J32" s="61" t="s">
        <v>6</v>
      </c>
      <c r="K32" s="75" t="s">
        <v>16</v>
      </c>
      <c r="R32" s="6"/>
    </row>
    <row r="33" spans="2:18" ht="13.5" customHeight="1">
      <c r="B33" s="8"/>
      <c r="C33" s="37" t="s">
        <v>38</v>
      </c>
      <c r="D33" s="82">
        <f aca="true" t="shared" si="3" ref="D33:D50">+I33+G33</f>
        <v>563974</v>
      </c>
      <c r="E33" s="79">
        <f aca="true" t="shared" si="4" ref="E33:E50">(G33-I33)/(G33+I33)</f>
        <v>0.3710348349391993</v>
      </c>
      <c r="F33" s="82">
        <v>14611</v>
      </c>
      <c r="G33" s="83">
        <v>386614</v>
      </c>
      <c r="H33" s="84">
        <v>-53</v>
      </c>
      <c r="I33" s="83">
        <v>177360</v>
      </c>
      <c r="J33" s="85">
        <v>-37</v>
      </c>
      <c r="K33" s="96">
        <f aca="true" t="shared" si="5" ref="K33:K50">ABS(J33-H33)</f>
        <v>16</v>
      </c>
      <c r="R33" s="14"/>
    </row>
    <row r="34" spans="2:18" ht="13.5" customHeight="1">
      <c r="B34" s="8"/>
      <c r="C34" s="37" t="s">
        <v>39</v>
      </c>
      <c r="D34" s="82">
        <f t="shared" si="3"/>
        <v>422718</v>
      </c>
      <c r="E34" s="79">
        <f t="shared" si="4"/>
        <v>0.27628347976665296</v>
      </c>
      <c r="F34" s="82">
        <v>29702</v>
      </c>
      <c r="G34" s="83">
        <v>269754</v>
      </c>
      <c r="H34" s="84">
        <v>-22</v>
      </c>
      <c r="I34" s="83">
        <v>152964</v>
      </c>
      <c r="J34" s="85">
        <v>-13</v>
      </c>
      <c r="K34" s="96">
        <f t="shared" si="5"/>
        <v>9</v>
      </c>
      <c r="R34" s="14"/>
    </row>
    <row r="35" spans="2:18" ht="13.5" customHeight="1">
      <c r="B35" s="48"/>
      <c r="C35" s="112" t="s">
        <v>47</v>
      </c>
      <c r="D35" s="90">
        <f t="shared" si="3"/>
        <v>57543</v>
      </c>
      <c r="E35" s="78">
        <f t="shared" si="4"/>
        <v>-0.3442121543888918</v>
      </c>
      <c r="F35" s="90" t="s">
        <v>22</v>
      </c>
      <c r="G35" s="91">
        <v>18868</v>
      </c>
      <c r="H35" s="92">
        <v>-18</v>
      </c>
      <c r="I35" s="91">
        <v>38675</v>
      </c>
      <c r="J35" s="93">
        <v>-38</v>
      </c>
      <c r="K35" s="94">
        <f t="shared" si="5"/>
        <v>20</v>
      </c>
      <c r="R35" s="14"/>
    </row>
    <row r="36" spans="2:18" ht="13.5" customHeight="1">
      <c r="B36" s="48"/>
      <c r="C36" s="112" t="s">
        <v>48</v>
      </c>
      <c r="D36" s="90">
        <f t="shared" si="3"/>
        <v>212574</v>
      </c>
      <c r="E36" s="78">
        <f t="shared" si="4"/>
        <v>-0.08422478760337576</v>
      </c>
      <c r="F36" s="90" t="s">
        <v>22</v>
      </c>
      <c r="G36" s="91">
        <v>97335</v>
      </c>
      <c r="H36" s="92">
        <v>-17</v>
      </c>
      <c r="I36" s="91">
        <v>115239</v>
      </c>
      <c r="J36" s="93">
        <v>-54</v>
      </c>
      <c r="K36" s="94">
        <f t="shared" si="5"/>
        <v>37</v>
      </c>
      <c r="R36" s="14"/>
    </row>
    <row r="37" spans="2:18" ht="13.5" customHeight="1">
      <c r="B37" s="58"/>
      <c r="C37" s="113" t="s">
        <v>49</v>
      </c>
      <c r="D37" s="90">
        <f t="shared" si="3"/>
        <v>56557</v>
      </c>
      <c r="E37" s="78">
        <f>(G37-I37)/(G37+I37)</f>
        <v>-0.48133741181462947</v>
      </c>
      <c r="F37" s="90" t="s">
        <v>22</v>
      </c>
      <c r="G37" s="91">
        <v>14667</v>
      </c>
      <c r="H37" s="92">
        <v>-35</v>
      </c>
      <c r="I37" s="91">
        <v>41890</v>
      </c>
      <c r="J37" s="93">
        <v>-154</v>
      </c>
      <c r="K37" s="94">
        <f t="shared" si="5"/>
        <v>119</v>
      </c>
      <c r="R37" s="14"/>
    </row>
    <row r="38" spans="2:18" ht="13.5" customHeight="1">
      <c r="B38" s="58"/>
      <c r="C38" s="113" t="s">
        <v>50</v>
      </c>
      <c r="D38" s="90">
        <f>+I38+G38</f>
        <v>55332</v>
      </c>
      <c r="E38" s="78">
        <f>(G38-I38)/(G38+I38)</f>
        <v>-0.07717053422974048</v>
      </c>
      <c r="F38" s="90" t="s">
        <v>22</v>
      </c>
      <c r="G38" s="91">
        <v>25531</v>
      </c>
      <c r="H38" s="92">
        <v>-6</v>
      </c>
      <c r="I38" s="91">
        <v>29801</v>
      </c>
      <c r="J38" s="93">
        <v>-35</v>
      </c>
      <c r="K38" s="94">
        <f t="shared" si="5"/>
        <v>29</v>
      </c>
      <c r="R38" s="14"/>
    </row>
    <row r="39" spans="2:18" ht="13.5" customHeight="1">
      <c r="B39" s="48"/>
      <c r="C39" s="112" t="s">
        <v>51</v>
      </c>
      <c r="D39" s="90">
        <f t="shared" si="3"/>
        <v>90371</v>
      </c>
      <c r="E39" s="78">
        <f t="shared" si="4"/>
        <v>-0.3376415000387292</v>
      </c>
      <c r="F39" s="90" t="s">
        <v>22</v>
      </c>
      <c r="G39" s="91">
        <v>29929</v>
      </c>
      <c r="H39" s="92">
        <v>-11</v>
      </c>
      <c r="I39" s="91">
        <v>60442</v>
      </c>
      <c r="J39" s="93">
        <v>-9</v>
      </c>
      <c r="K39" s="94">
        <f t="shared" si="5"/>
        <v>2</v>
      </c>
      <c r="R39" s="14"/>
    </row>
    <row r="40" spans="2:18" ht="13.5" customHeight="1">
      <c r="B40" s="58"/>
      <c r="C40" s="113" t="s">
        <v>52</v>
      </c>
      <c r="D40" s="90">
        <f t="shared" si="3"/>
        <v>260431</v>
      </c>
      <c r="E40" s="78">
        <f t="shared" si="4"/>
        <v>-0.17049045620529046</v>
      </c>
      <c r="F40" s="90" t="s">
        <v>22</v>
      </c>
      <c r="G40" s="91">
        <v>108015</v>
      </c>
      <c r="H40" s="92">
        <v>-151</v>
      </c>
      <c r="I40" s="91">
        <v>152416</v>
      </c>
      <c r="J40" s="93">
        <v>-318</v>
      </c>
      <c r="K40" s="94">
        <f t="shared" si="5"/>
        <v>167</v>
      </c>
      <c r="R40" s="14"/>
    </row>
    <row r="41" spans="2:18" ht="13.5" customHeight="1">
      <c r="B41" s="48"/>
      <c r="C41" s="112" t="s">
        <v>53</v>
      </c>
      <c r="D41" s="90">
        <f t="shared" si="3"/>
        <v>114107</v>
      </c>
      <c r="E41" s="78">
        <f t="shared" si="4"/>
        <v>-0.281709272875459</v>
      </c>
      <c r="F41" s="90" t="s">
        <v>22</v>
      </c>
      <c r="G41" s="91">
        <v>40981</v>
      </c>
      <c r="H41" s="92">
        <v>-38</v>
      </c>
      <c r="I41" s="91">
        <v>73126</v>
      </c>
      <c r="J41" s="93">
        <v>-109</v>
      </c>
      <c r="K41" s="94">
        <f t="shared" si="5"/>
        <v>71</v>
      </c>
      <c r="R41" s="14"/>
    </row>
    <row r="42" spans="2:18" ht="13.5" customHeight="1">
      <c r="B42" s="58"/>
      <c r="C42" s="113" t="s">
        <v>54</v>
      </c>
      <c r="D42" s="82">
        <f t="shared" si="3"/>
        <v>100517</v>
      </c>
      <c r="E42" s="79">
        <f t="shared" si="4"/>
        <v>0.22255936806709312</v>
      </c>
      <c r="F42" s="82" t="s">
        <v>22</v>
      </c>
      <c r="G42" s="83">
        <v>61444</v>
      </c>
      <c r="H42" s="84">
        <v>-17</v>
      </c>
      <c r="I42" s="83">
        <v>39073</v>
      </c>
      <c r="J42" s="85">
        <v>-11</v>
      </c>
      <c r="K42" s="96">
        <f t="shared" si="5"/>
        <v>6</v>
      </c>
      <c r="R42" s="14"/>
    </row>
    <row r="43" spans="2:18" ht="13.5" customHeight="1">
      <c r="B43" s="58"/>
      <c r="C43" s="113" t="s">
        <v>55</v>
      </c>
      <c r="D43" s="90">
        <f t="shared" si="3"/>
        <v>69172</v>
      </c>
      <c r="E43" s="78">
        <f t="shared" si="4"/>
        <v>-0.508818597120222</v>
      </c>
      <c r="F43" s="90" t="s">
        <v>22</v>
      </c>
      <c r="G43" s="91">
        <v>16988</v>
      </c>
      <c r="H43" s="92">
        <v>-40</v>
      </c>
      <c r="I43" s="91">
        <v>52184</v>
      </c>
      <c r="J43" s="93">
        <v>-91</v>
      </c>
      <c r="K43" s="94">
        <f t="shared" si="5"/>
        <v>51</v>
      </c>
      <c r="R43" s="14"/>
    </row>
    <row r="44" spans="2:18" ht="13.5" customHeight="1">
      <c r="B44" s="58"/>
      <c r="C44" s="113" t="s">
        <v>56</v>
      </c>
      <c r="D44" s="90">
        <f>+I44+G44</f>
        <v>165517</v>
      </c>
      <c r="E44" s="78">
        <f>(G44-I44)/(G44+I44)</f>
        <v>-0.09124742473582774</v>
      </c>
      <c r="F44" s="90" t="s">
        <v>22</v>
      </c>
      <c r="G44" s="91">
        <v>75207</v>
      </c>
      <c r="H44" s="92">
        <v>-7</v>
      </c>
      <c r="I44" s="91">
        <v>90310</v>
      </c>
      <c r="J44" s="93">
        <v>-15</v>
      </c>
      <c r="K44" s="94">
        <f t="shared" si="5"/>
        <v>8</v>
      </c>
      <c r="R44" s="14"/>
    </row>
    <row r="45" spans="2:18" ht="13.5" customHeight="1">
      <c r="B45" s="58"/>
      <c r="C45" s="113" t="s">
        <v>57</v>
      </c>
      <c r="D45" s="82">
        <f t="shared" si="3"/>
        <v>107249</v>
      </c>
      <c r="E45" s="79">
        <f t="shared" si="4"/>
        <v>0.0820240748165484</v>
      </c>
      <c r="F45" s="82" t="s">
        <v>22</v>
      </c>
      <c r="G45" s="83">
        <v>58023</v>
      </c>
      <c r="H45" s="84">
        <v>-71</v>
      </c>
      <c r="I45" s="83">
        <v>49226</v>
      </c>
      <c r="J45" s="85">
        <v>-49</v>
      </c>
      <c r="K45" s="96">
        <f t="shared" si="5"/>
        <v>22</v>
      </c>
      <c r="R45" s="14"/>
    </row>
    <row r="46" spans="2:18" ht="13.5" customHeight="1">
      <c r="B46" s="58"/>
      <c r="C46" s="113" t="s">
        <v>69</v>
      </c>
      <c r="D46" s="82">
        <f>+I46+G46</f>
        <v>385506</v>
      </c>
      <c r="E46" s="79">
        <f>(G46-I46)/(G46+I46)</f>
        <v>0.04100584686100865</v>
      </c>
      <c r="F46" s="82" t="s">
        <v>22</v>
      </c>
      <c r="G46" s="83">
        <v>200657</v>
      </c>
      <c r="H46" s="84">
        <v>-28</v>
      </c>
      <c r="I46" s="83">
        <v>184849</v>
      </c>
      <c r="J46" s="85">
        <v>-26</v>
      </c>
      <c r="K46" s="96">
        <f t="shared" si="5"/>
        <v>2</v>
      </c>
      <c r="R46" s="14"/>
    </row>
    <row r="47" spans="2:18" ht="13.5" customHeight="1">
      <c r="B47" s="58"/>
      <c r="C47" s="113" t="s">
        <v>58</v>
      </c>
      <c r="D47" s="90">
        <f t="shared" si="3"/>
        <v>138183</v>
      </c>
      <c r="E47" s="78">
        <f>(G47-I47)/(G47+I47)</f>
        <v>-0.0070124400251839955</v>
      </c>
      <c r="F47" s="90" t="s">
        <v>22</v>
      </c>
      <c r="G47" s="91">
        <v>68607</v>
      </c>
      <c r="H47" s="92">
        <v>-25</v>
      </c>
      <c r="I47" s="91">
        <v>69576</v>
      </c>
      <c r="J47" s="93">
        <v>-12</v>
      </c>
      <c r="K47" s="94">
        <f t="shared" si="5"/>
        <v>13</v>
      </c>
      <c r="R47" s="14"/>
    </row>
    <row r="48" spans="2:18" ht="13.5" customHeight="1">
      <c r="B48" s="58"/>
      <c r="C48" s="113" t="s">
        <v>59</v>
      </c>
      <c r="D48" s="90">
        <f t="shared" si="3"/>
        <v>49120</v>
      </c>
      <c r="E48" s="78">
        <f t="shared" si="4"/>
        <v>-0.4784201954397394</v>
      </c>
      <c r="F48" s="90" t="s">
        <v>22</v>
      </c>
      <c r="G48" s="91">
        <v>12810</v>
      </c>
      <c r="H48" s="92">
        <v>-8</v>
      </c>
      <c r="I48" s="91">
        <v>36310</v>
      </c>
      <c r="J48" s="93">
        <v>-36</v>
      </c>
      <c r="K48" s="94">
        <f t="shared" si="5"/>
        <v>28</v>
      </c>
      <c r="R48" s="14"/>
    </row>
    <row r="49" spans="2:18" ht="13.5" customHeight="1">
      <c r="B49" s="48" t="s">
        <v>26</v>
      </c>
      <c r="C49" s="38">
        <v>-3</v>
      </c>
      <c r="D49" s="90">
        <f t="shared" si="3"/>
        <v>23159</v>
      </c>
      <c r="E49" s="78">
        <f t="shared" si="4"/>
        <v>-0.4059328986571095</v>
      </c>
      <c r="F49" s="90" t="s">
        <v>22</v>
      </c>
      <c r="G49" s="95">
        <f>6882+H49</f>
        <v>6879</v>
      </c>
      <c r="H49" s="109">
        <v>-3</v>
      </c>
      <c r="I49" s="95">
        <f>16283+J49</f>
        <v>16280</v>
      </c>
      <c r="J49" s="110">
        <v>-3</v>
      </c>
      <c r="K49" s="94">
        <f t="shared" si="5"/>
        <v>0</v>
      </c>
      <c r="R49" s="14"/>
    </row>
    <row r="50" spans="2:18" ht="13.5" customHeight="1" thickBot="1">
      <c r="B50" s="49"/>
      <c r="C50" s="111" t="s">
        <v>61</v>
      </c>
      <c r="D50" s="86">
        <f t="shared" si="3"/>
        <v>618435</v>
      </c>
      <c r="E50" s="80">
        <f t="shared" si="4"/>
        <v>0.06352648216870002</v>
      </c>
      <c r="F50" s="86">
        <v>28601</v>
      </c>
      <c r="G50" s="87">
        <v>328861</v>
      </c>
      <c r="H50" s="88">
        <v>-59</v>
      </c>
      <c r="I50" s="87">
        <v>289574</v>
      </c>
      <c r="J50" s="89">
        <v>-41</v>
      </c>
      <c r="K50" s="96">
        <f t="shared" si="5"/>
        <v>18</v>
      </c>
      <c r="R50" s="14"/>
    </row>
    <row r="51" spans="1:23" s="149" customFormat="1" ht="13.5" customHeight="1">
      <c r="A51" s="139"/>
      <c r="B51" s="140"/>
      <c r="C51" s="140"/>
      <c r="D51" s="141">
        <f>SUM(D33:D50)</f>
        <v>3490465</v>
      </c>
      <c r="E51" s="142">
        <f>AVERAGE(E33:E50)</f>
        <v>-0.12287686591749981</v>
      </c>
      <c r="F51" s="143">
        <f>SUM(F33:F50)</f>
        <v>72914</v>
      </c>
      <c r="G51" s="143">
        <f>SUM(G33:G50)</f>
        <v>1821170</v>
      </c>
      <c r="H51" s="144">
        <f>SUM(H33:H50)</f>
        <v>-609</v>
      </c>
      <c r="I51" s="143">
        <f>SUM(I33:I50)</f>
        <v>1669295</v>
      </c>
      <c r="J51" s="144">
        <f>SUM(J33:J50)</f>
        <v>-1051</v>
      </c>
      <c r="K51" s="145"/>
      <c r="L51" s="145"/>
      <c r="M51" s="146"/>
      <c r="N51" s="147"/>
      <c r="O51" s="145"/>
      <c r="P51" s="146"/>
      <c r="Q51" s="146"/>
      <c r="R51" s="146"/>
      <c r="S51" s="148"/>
      <c r="T51" s="148"/>
      <c r="U51" s="148"/>
      <c r="V51" s="146"/>
      <c r="W51" s="146"/>
    </row>
    <row r="52" spans="1:15" ht="13.5" customHeight="1">
      <c r="A52" s="46"/>
      <c r="B52" s="34"/>
      <c r="C52" s="34"/>
      <c r="D52" s="150">
        <f>D51/(D5+E5)</f>
        <v>0.5992170358227399</v>
      </c>
      <c r="E52" s="151" t="s">
        <v>13</v>
      </c>
      <c r="F52" s="13"/>
      <c r="H52" s="11"/>
      <c r="I52" s="11"/>
      <c r="J52" s="11"/>
      <c r="N52" s="42"/>
      <c r="O52" s="2"/>
    </row>
    <row r="53" spans="1:15" ht="13.5" customHeight="1">
      <c r="A53" s="46"/>
      <c r="B53" s="34"/>
      <c r="C53" s="34"/>
      <c r="D53" s="62"/>
      <c r="E53" s="13"/>
      <c r="F53" s="13"/>
      <c r="H53" s="11"/>
      <c r="I53" s="11"/>
      <c r="J53" s="11"/>
      <c r="N53" s="42"/>
      <c r="O53" s="2"/>
    </row>
    <row r="54" spans="1:15" ht="13.5" customHeight="1">
      <c r="A54" s="66">
        <v>-1</v>
      </c>
      <c r="B54" s="64" t="s">
        <v>36</v>
      </c>
      <c r="C54" s="22"/>
      <c r="D54" s="62"/>
      <c r="E54" s="13"/>
      <c r="F54" s="13"/>
      <c r="H54" s="11"/>
      <c r="I54" s="11"/>
      <c r="J54" s="11"/>
      <c r="N54" s="42"/>
      <c r="O54" s="2"/>
    </row>
    <row r="55" spans="1:15" ht="13.5" customHeight="1">
      <c r="A55" s="66">
        <v>-2</v>
      </c>
      <c r="B55" s="64" t="s">
        <v>41</v>
      </c>
      <c r="C55" s="22"/>
      <c r="D55" s="62"/>
      <c r="E55" s="13"/>
      <c r="F55" s="13"/>
      <c r="H55" s="11"/>
      <c r="I55" s="11"/>
      <c r="J55" s="11"/>
      <c r="N55" s="42"/>
      <c r="O55" s="2"/>
    </row>
    <row r="56" spans="1:3" ht="13.5" customHeight="1">
      <c r="A56" s="66">
        <v>-3</v>
      </c>
      <c r="B56" s="64" t="s">
        <v>37</v>
      </c>
      <c r="C56" s="22"/>
    </row>
    <row r="57" spans="1:2" ht="13.5" customHeight="1">
      <c r="A57" s="66">
        <v>-4</v>
      </c>
      <c r="B57" s="65" t="s">
        <v>40</v>
      </c>
    </row>
    <row r="58" spans="1:16" ht="13.5" customHeight="1">
      <c r="A58" s="66">
        <v>-5</v>
      </c>
      <c r="B58" s="65" t="s">
        <v>63</v>
      </c>
      <c r="J58" s="63" t="s">
        <v>23</v>
      </c>
      <c r="K58" s="28">
        <f ca="1">TODAY()</f>
        <v>36871</v>
      </c>
      <c r="L58" s="29">
        <f ca="1">NOW()</f>
        <v>36871.606433333334</v>
      </c>
      <c r="M58" s="1"/>
      <c r="N58" s="43"/>
      <c r="O58" s="1"/>
      <c r="P58" s="1"/>
    </row>
    <row r="59" spans="11:16" ht="13.5" customHeight="1">
      <c r="K59" s="1"/>
      <c r="L59" s="1"/>
      <c r="M59" s="1"/>
      <c r="N59" s="43"/>
      <c r="O59" s="1"/>
      <c r="P59" s="1"/>
    </row>
    <row r="60" spans="11:16" ht="13.5" customHeight="1">
      <c r="K60" s="1"/>
      <c r="L60" s="1"/>
      <c r="M60" s="1"/>
      <c r="N60" s="43"/>
      <c r="O60" s="1"/>
      <c r="P60" s="1"/>
    </row>
    <row r="61" spans="11:16" ht="13.5" customHeight="1">
      <c r="K61" s="1"/>
      <c r="L61" s="1"/>
      <c r="M61" s="1"/>
      <c r="N61" s="43"/>
      <c r="O61" s="1"/>
      <c r="P61" s="1"/>
    </row>
  </sheetData>
  <printOptions/>
  <pageMargins left="0.92" right="0.75" top="0.57" bottom="1" header="0.4" footer="0.5"/>
  <pageSetup fitToHeight="1" fitToWidth="1"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7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5.00390625" style="164" customWidth="1"/>
    <col min="2" max="2" width="16.7109375" style="163" customWidth="1"/>
    <col min="3" max="3" width="10.421875" style="2" customWidth="1"/>
    <col min="4" max="4" width="12.7109375" style="164" customWidth="1"/>
    <col min="5" max="5" width="8.8515625" style="164" customWidth="1"/>
    <col min="6" max="6" width="12.7109375" style="164" customWidth="1"/>
    <col min="7" max="7" width="8.8515625" style="164" customWidth="1"/>
    <col min="8" max="16384" width="9.140625" style="164" customWidth="1"/>
  </cols>
  <sheetData>
    <row r="1" ht="12.75" customHeight="1" thickBot="1"/>
    <row r="2" spans="2:7" ht="12.75" customHeight="1">
      <c r="B2" s="181"/>
      <c r="C2" s="182" t="s">
        <v>9</v>
      </c>
      <c r="D2" s="183" t="s">
        <v>1</v>
      </c>
      <c r="E2" s="184" t="s">
        <v>144</v>
      </c>
      <c r="F2" s="182" t="s">
        <v>2</v>
      </c>
      <c r="G2" s="185" t="s">
        <v>144</v>
      </c>
    </row>
    <row r="3" spans="2:7" ht="12.75" customHeight="1">
      <c r="B3" s="186" t="s">
        <v>73</v>
      </c>
      <c r="C3" s="165">
        <f aca="true" t="shared" si="0" ref="C3:C34">(D3-F3)/(D3+F3)</f>
        <v>0.162485432129056</v>
      </c>
      <c r="D3" s="166">
        <v>47380</v>
      </c>
      <c r="E3" s="167" t="s">
        <v>74</v>
      </c>
      <c r="F3" s="168">
        <v>34135</v>
      </c>
      <c r="G3" s="169" t="s">
        <v>74</v>
      </c>
    </row>
    <row r="4" spans="2:7" ht="12.75" customHeight="1">
      <c r="B4" s="186" t="s">
        <v>75</v>
      </c>
      <c r="C4" s="165">
        <f t="shared" si="0"/>
        <v>-0.4022241659377733</v>
      </c>
      <c r="D4" s="166">
        <v>2392</v>
      </c>
      <c r="E4" s="167" t="s">
        <v>74</v>
      </c>
      <c r="F4" s="168">
        <v>5611</v>
      </c>
      <c r="G4" s="169" t="s">
        <v>74</v>
      </c>
    </row>
    <row r="5" spans="2:7" ht="12.75" customHeight="1">
      <c r="B5" s="186" t="s">
        <v>76</v>
      </c>
      <c r="C5" s="165">
        <f t="shared" si="0"/>
        <v>-0.34417513682564504</v>
      </c>
      <c r="D5" s="166">
        <v>18873</v>
      </c>
      <c r="E5" s="167">
        <v>5</v>
      </c>
      <c r="F5" s="168">
        <v>38682</v>
      </c>
      <c r="G5" s="169">
        <v>7</v>
      </c>
    </row>
    <row r="6" spans="2:7" ht="12.75" customHeight="1">
      <c r="B6" s="186" t="s">
        <v>77</v>
      </c>
      <c r="C6" s="165">
        <f t="shared" si="0"/>
        <v>-0.2757036862560358</v>
      </c>
      <c r="D6" s="166">
        <v>3075</v>
      </c>
      <c r="E6" s="167" t="s">
        <v>74</v>
      </c>
      <c r="F6" s="168">
        <v>5416</v>
      </c>
      <c r="G6" s="169" t="s">
        <v>74</v>
      </c>
    </row>
    <row r="7" spans="2:7" ht="12.75" customHeight="1">
      <c r="B7" s="186" t="s">
        <v>78</v>
      </c>
      <c r="C7" s="165">
        <f t="shared" si="0"/>
        <v>-0.08425449448244071</v>
      </c>
      <c r="D7" s="166">
        <v>97341</v>
      </c>
      <c r="E7" s="167">
        <v>6</v>
      </c>
      <c r="F7" s="168">
        <v>115253</v>
      </c>
      <c r="G7" s="169">
        <v>14</v>
      </c>
    </row>
    <row r="8" spans="2:7" ht="12.75" customHeight="1">
      <c r="B8" s="186" t="s">
        <v>79</v>
      </c>
      <c r="C8" s="165">
        <f t="shared" si="0"/>
        <v>0.3709057290184356</v>
      </c>
      <c r="D8" s="166">
        <v>387760</v>
      </c>
      <c r="E8" s="170">
        <v>1146</v>
      </c>
      <c r="F8" s="168">
        <v>177939</v>
      </c>
      <c r="G8" s="169">
        <v>579</v>
      </c>
    </row>
    <row r="9" spans="2:7" ht="12.75" customHeight="1">
      <c r="B9" s="186" t="s">
        <v>80</v>
      </c>
      <c r="C9" s="165">
        <f t="shared" si="0"/>
        <v>-0.14257307615828196</v>
      </c>
      <c r="D9" s="166">
        <v>2156</v>
      </c>
      <c r="E9" s="167" t="s">
        <v>74</v>
      </c>
      <c r="F9" s="168">
        <v>2873</v>
      </c>
      <c r="G9" s="169" t="s">
        <v>74</v>
      </c>
    </row>
    <row r="10" spans="2:7" ht="12.75" customHeight="1">
      <c r="B10" s="186" t="s">
        <v>81</v>
      </c>
      <c r="C10" s="165">
        <f t="shared" si="0"/>
        <v>-0.08885269078280111</v>
      </c>
      <c r="D10" s="166">
        <v>29646</v>
      </c>
      <c r="E10" s="167" t="s">
        <v>74</v>
      </c>
      <c r="F10" s="168">
        <v>35428</v>
      </c>
      <c r="G10" s="169" t="s">
        <v>74</v>
      </c>
    </row>
    <row r="11" spans="2:7" ht="12.75" customHeight="1">
      <c r="B11" s="186" t="s">
        <v>82</v>
      </c>
      <c r="C11" s="165">
        <f t="shared" si="0"/>
        <v>-0.07717053422974048</v>
      </c>
      <c r="D11" s="166">
        <v>25531</v>
      </c>
      <c r="E11" s="167" t="s">
        <v>74</v>
      </c>
      <c r="F11" s="168">
        <v>29801</v>
      </c>
      <c r="G11" s="169">
        <v>1</v>
      </c>
    </row>
    <row r="12" spans="2:7" ht="12.75" customHeight="1">
      <c r="B12" s="186" t="s">
        <v>83</v>
      </c>
      <c r="C12" s="165">
        <f t="shared" si="0"/>
        <v>-0.4814304148768804</v>
      </c>
      <c r="D12" s="166">
        <v>14668</v>
      </c>
      <c r="E12" s="167">
        <v>1</v>
      </c>
      <c r="F12" s="168">
        <v>41903</v>
      </c>
      <c r="G12" s="169">
        <v>13</v>
      </c>
    </row>
    <row r="13" spans="2:7" ht="12.75" customHeight="1">
      <c r="B13" s="186" t="s">
        <v>84</v>
      </c>
      <c r="C13" s="165">
        <f t="shared" si="0"/>
        <v>-0.33767670287370305</v>
      </c>
      <c r="D13" s="166">
        <v>29939</v>
      </c>
      <c r="E13" s="167">
        <v>10</v>
      </c>
      <c r="F13" s="168">
        <v>60467</v>
      </c>
      <c r="G13" s="169">
        <v>25</v>
      </c>
    </row>
    <row r="14" spans="2:7" ht="12.75" customHeight="1">
      <c r="B14" s="186" t="s">
        <v>85</v>
      </c>
      <c r="C14" s="165">
        <f t="shared" si="0"/>
        <v>-0.21751678969861798</v>
      </c>
      <c r="D14" s="166">
        <v>7049</v>
      </c>
      <c r="E14" s="167" t="s">
        <v>74</v>
      </c>
      <c r="F14" s="168">
        <v>10968</v>
      </c>
      <c r="G14" s="169" t="s">
        <v>74</v>
      </c>
    </row>
    <row r="15" spans="2:7" ht="12.75" customHeight="1">
      <c r="B15" s="186" t="s">
        <v>148</v>
      </c>
      <c r="C15" s="165">
        <f t="shared" si="0"/>
        <v>0.06353556766126438</v>
      </c>
      <c r="D15" s="166">
        <v>328867</v>
      </c>
      <c r="E15" s="167">
        <v>6</v>
      </c>
      <c r="F15" s="168">
        <v>289574</v>
      </c>
      <c r="G15" s="169" t="s">
        <v>74</v>
      </c>
    </row>
    <row r="16" spans="2:7" ht="12.75" customHeight="1">
      <c r="B16" s="186" t="s">
        <v>86</v>
      </c>
      <c r="C16" s="165">
        <f t="shared" si="0"/>
        <v>-0.12339976243896002</v>
      </c>
      <c r="D16" s="166">
        <v>3321</v>
      </c>
      <c r="E16" s="167" t="s">
        <v>74</v>
      </c>
      <c r="F16" s="168">
        <v>4256</v>
      </c>
      <c r="G16" s="169" t="s">
        <v>74</v>
      </c>
    </row>
    <row r="17" spans="2:7" ht="12.75" customHeight="1">
      <c r="B17" s="186" t="s">
        <v>87</v>
      </c>
      <c r="C17" s="165">
        <f t="shared" si="0"/>
        <v>-0.19230769230769232</v>
      </c>
      <c r="D17" s="166">
        <v>1827</v>
      </c>
      <c r="E17" s="167" t="s">
        <v>74</v>
      </c>
      <c r="F17" s="168">
        <v>2697</v>
      </c>
      <c r="G17" s="169" t="s">
        <v>74</v>
      </c>
    </row>
    <row r="18" spans="2:7" ht="12.75" customHeight="1">
      <c r="B18" s="186" t="s">
        <v>88</v>
      </c>
      <c r="C18" s="165">
        <f t="shared" si="0"/>
        <v>-0.1705227275344627</v>
      </c>
      <c r="D18" s="166">
        <v>108039</v>
      </c>
      <c r="E18" s="167">
        <v>24</v>
      </c>
      <c r="F18" s="168">
        <v>152460</v>
      </c>
      <c r="G18" s="169">
        <v>44</v>
      </c>
    </row>
    <row r="19" spans="2:7" ht="12.75" customHeight="1">
      <c r="B19" s="186" t="s">
        <v>89</v>
      </c>
      <c r="C19" s="165">
        <f t="shared" si="0"/>
        <v>-0.2818913639509114</v>
      </c>
      <c r="D19" s="166">
        <v>40990</v>
      </c>
      <c r="E19" s="167">
        <v>9</v>
      </c>
      <c r="F19" s="168">
        <v>73171</v>
      </c>
      <c r="G19" s="169">
        <v>45</v>
      </c>
    </row>
    <row r="20" spans="2:7" ht="12.75" customHeight="1">
      <c r="B20" s="186" t="s">
        <v>90</v>
      </c>
      <c r="C20" s="165">
        <f t="shared" si="0"/>
        <v>0.04823684706769753</v>
      </c>
      <c r="D20" s="166">
        <v>13897</v>
      </c>
      <c r="E20" s="167" t="s">
        <v>74</v>
      </c>
      <c r="F20" s="168">
        <v>12618</v>
      </c>
      <c r="G20" s="169" t="s">
        <v>74</v>
      </c>
    </row>
    <row r="21" spans="2:7" ht="12.75" customHeight="1">
      <c r="B21" s="186" t="s">
        <v>91</v>
      </c>
      <c r="C21" s="165">
        <f t="shared" si="0"/>
        <v>-0.09042435014441236</v>
      </c>
      <c r="D21" s="166">
        <v>2047</v>
      </c>
      <c r="E21" s="167" t="s">
        <v>74</v>
      </c>
      <c r="F21" s="168">
        <v>2454</v>
      </c>
      <c r="G21" s="169" t="s">
        <v>74</v>
      </c>
    </row>
    <row r="22" spans="2:7" ht="12.75" customHeight="1">
      <c r="B22" s="186" t="s">
        <v>92</v>
      </c>
      <c r="C22" s="165">
        <f t="shared" si="0"/>
        <v>0.3423411002343858</v>
      </c>
      <c r="D22" s="166">
        <v>9736</v>
      </c>
      <c r="E22" s="167" t="s">
        <v>74</v>
      </c>
      <c r="F22" s="168">
        <v>4770</v>
      </c>
      <c r="G22" s="169" t="s">
        <v>74</v>
      </c>
    </row>
    <row r="23" spans="2:7" ht="12.75" customHeight="1">
      <c r="B23" s="186" t="s">
        <v>93</v>
      </c>
      <c r="C23" s="165">
        <f t="shared" si="0"/>
        <v>-0.2667946257197697</v>
      </c>
      <c r="D23" s="166">
        <v>1910</v>
      </c>
      <c r="E23" s="167" t="s">
        <v>74</v>
      </c>
      <c r="F23" s="168">
        <v>3300</v>
      </c>
      <c r="G23" s="169" t="s">
        <v>74</v>
      </c>
    </row>
    <row r="24" spans="2:7" ht="12.75" customHeight="1">
      <c r="B24" s="186" t="s">
        <v>94</v>
      </c>
      <c r="C24" s="165">
        <f t="shared" si="0"/>
        <v>-0.12153518123667377</v>
      </c>
      <c r="D24" s="166">
        <v>1442</v>
      </c>
      <c r="E24" s="167" t="s">
        <v>74</v>
      </c>
      <c r="F24" s="168">
        <v>1841</v>
      </c>
      <c r="G24" s="169" t="s">
        <v>74</v>
      </c>
    </row>
    <row r="25" spans="2:7" ht="12.75" customHeight="1">
      <c r="B25" s="186" t="s">
        <v>95</v>
      </c>
      <c r="C25" s="165">
        <f t="shared" si="0"/>
        <v>-0.19408502772643252</v>
      </c>
      <c r="D25" s="166">
        <v>2398</v>
      </c>
      <c r="E25" s="167" t="s">
        <v>74</v>
      </c>
      <c r="F25" s="168">
        <v>3553</v>
      </c>
      <c r="G25" s="169" t="s">
        <v>74</v>
      </c>
    </row>
    <row r="26" spans="2:7" ht="12.75" customHeight="1">
      <c r="B26" s="186" t="s">
        <v>96</v>
      </c>
      <c r="C26" s="165">
        <f t="shared" si="0"/>
        <v>-0.10956072351421188</v>
      </c>
      <c r="D26" s="166">
        <v>1723</v>
      </c>
      <c r="E26" s="167" t="s">
        <v>74</v>
      </c>
      <c r="F26" s="168">
        <v>2147</v>
      </c>
      <c r="G26" s="169" t="s">
        <v>74</v>
      </c>
    </row>
    <row r="27" spans="2:7" ht="12.75" customHeight="1">
      <c r="B27" s="186" t="s">
        <v>97</v>
      </c>
      <c r="C27" s="165">
        <f t="shared" si="0"/>
        <v>-0.23301129850990668</v>
      </c>
      <c r="D27" s="166">
        <v>2342</v>
      </c>
      <c r="E27" s="167" t="s">
        <v>74</v>
      </c>
      <c r="F27" s="168">
        <v>3765</v>
      </c>
      <c r="G27" s="169" t="s">
        <v>74</v>
      </c>
    </row>
    <row r="28" spans="2:7" ht="12.75" customHeight="1">
      <c r="B28" s="186" t="s">
        <v>98</v>
      </c>
      <c r="C28" s="165">
        <f t="shared" si="0"/>
        <v>-0.1886816076123701</v>
      </c>
      <c r="D28" s="166">
        <v>3240</v>
      </c>
      <c r="E28" s="167" t="s">
        <v>74</v>
      </c>
      <c r="F28" s="168">
        <v>4747</v>
      </c>
      <c r="G28" s="169" t="s">
        <v>74</v>
      </c>
    </row>
    <row r="29" spans="2:7" ht="12.75" customHeight="1">
      <c r="B29" s="186" t="s">
        <v>99</v>
      </c>
      <c r="C29" s="165">
        <f t="shared" si="0"/>
        <v>0.031434619151423246</v>
      </c>
      <c r="D29" s="166">
        <v>32648</v>
      </c>
      <c r="E29" s="167" t="s">
        <v>74</v>
      </c>
      <c r="F29" s="168">
        <v>30658</v>
      </c>
      <c r="G29" s="169" t="s">
        <v>74</v>
      </c>
    </row>
    <row r="30" spans="2:7" ht="12.75" customHeight="1">
      <c r="B30" s="186" t="s">
        <v>100</v>
      </c>
      <c r="C30" s="165">
        <f t="shared" si="0"/>
        <v>-0.1756457993949267</v>
      </c>
      <c r="D30" s="166">
        <v>14169</v>
      </c>
      <c r="E30" s="167" t="s">
        <v>74</v>
      </c>
      <c r="F30" s="168">
        <v>20207</v>
      </c>
      <c r="G30" s="169" t="s">
        <v>74</v>
      </c>
    </row>
    <row r="31" spans="2:7" ht="12.75" customHeight="1">
      <c r="B31" s="186" t="s">
        <v>101</v>
      </c>
      <c r="C31" s="165">
        <f t="shared" si="0"/>
        <v>-0.03201758141393384</v>
      </c>
      <c r="D31" s="166">
        <v>169576</v>
      </c>
      <c r="E31" s="167" t="s">
        <v>74</v>
      </c>
      <c r="F31" s="168">
        <v>180794</v>
      </c>
      <c r="G31" s="169" t="s">
        <v>74</v>
      </c>
    </row>
    <row r="32" spans="2:7" ht="12.75" customHeight="1">
      <c r="B32" s="186" t="s">
        <v>102</v>
      </c>
      <c r="C32" s="165">
        <f t="shared" si="0"/>
        <v>-0.3943524829600779</v>
      </c>
      <c r="D32" s="166">
        <v>2177</v>
      </c>
      <c r="E32" s="167" t="s">
        <v>74</v>
      </c>
      <c r="F32" s="168">
        <v>5012</v>
      </c>
      <c r="G32" s="169" t="s">
        <v>74</v>
      </c>
    </row>
    <row r="33" spans="2:7" ht="12.75" customHeight="1">
      <c r="B33" s="186" t="s">
        <v>103</v>
      </c>
      <c r="C33" s="165">
        <f t="shared" si="0"/>
        <v>-0.1832341761692282</v>
      </c>
      <c r="D33" s="166">
        <v>19769</v>
      </c>
      <c r="E33" s="167" t="s">
        <v>74</v>
      </c>
      <c r="F33" s="168">
        <v>28639</v>
      </c>
      <c r="G33" s="169" t="s">
        <v>74</v>
      </c>
    </row>
    <row r="34" spans="2:7" ht="12.75" customHeight="1">
      <c r="B34" s="186" t="s">
        <v>104</v>
      </c>
      <c r="C34" s="165">
        <f t="shared" si="0"/>
        <v>-0.14173277531388595</v>
      </c>
      <c r="D34" s="166">
        <v>6870</v>
      </c>
      <c r="E34" s="167" t="s">
        <v>74</v>
      </c>
      <c r="F34" s="168">
        <v>9139</v>
      </c>
      <c r="G34" s="169" t="s">
        <v>74</v>
      </c>
    </row>
    <row r="35" spans="2:7" ht="12.75" customHeight="1">
      <c r="B35" s="186" t="s">
        <v>105</v>
      </c>
      <c r="C35" s="165">
        <f aca="true" t="shared" si="1" ref="C35:C66">(D35-F35)/(D35+F35)</f>
        <v>0.10201123391918826</v>
      </c>
      <c r="D35" s="166">
        <v>3041</v>
      </c>
      <c r="E35" s="167" t="s">
        <v>74</v>
      </c>
      <c r="F35" s="168">
        <v>2478</v>
      </c>
      <c r="G35" s="169" t="s">
        <v>74</v>
      </c>
    </row>
    <row r="36" spans="2:7" ht="12.75" customHeight="1">
      <c r="B36" s="186" t="s">
        <v>106</v>
      </c>
      <c r="C36" s="165">
        <f t="shared" si="1"/>
        <v>-0.3582757218381456</v>
      </c>
      <c r="D36" s="171">
        <v>789</v>
      </c>
      <c r="E36" s="167" t="s">
        <v>74</v>
      </c>
      <c r="F36" s="168">
        <v>1670</v>
      </c>
      <c r="G36" s="169" t="s">
        <v>74</v>
      </c>
    </row>
    <row r="37" spans="2:7" ht="12.75" customHeight="1">
      <c r="B37" s="186" t="s">
        <v>107</v>
      </c>
      <c r="C37" s="165">
        <f t="shared" si="1"/>
        <v>-0.15521881244152874</v>
      </c>
      <c r="D37" s="166">
        <v>36571</v>
      </c>
      <c r="E37" s="167" t="s">
        <v>74</v>
      </c>
      <c r="F37" s="168">
        <v>50010</v>
      </c>
      <c r="G37" s="169" t="s">
        <v>74</v>
      </c>
    </row>
    <row r="38" spans="2:7" ht="12.75" customHeight="1">
      <c r="B38" s="186" t="s">
        <v>108</v>
      </c>
      <c r="C38" s="165">
        <f t="shared" si="1"/>
        <v>-0.18127997685313985</v>
      </c>
      <c r="D38" s="166">
        <v>73571</v>
      </c>
      <c r="E38" s="167" t="s">
        <v>74</v>
      </c>
      <c r="F38" s="168">
        <v>106151</v>
      </c>
      <c r="G38" s="169" t="s">
        <v>74</v>
      </c>
    </row>
    <row r="39" spans="2:7" ht="12.75" customHeight="1">
      <c r="B39" s="186" t="s">
        <v>109</v>
      </c>
      <c r="C39" s="165">
        <f t="shared" si="1"/>
        <v>0.22255936806709312</v>
      </c>
      <c r="D39" s="166">
        <v>61444</v>
      </c>
      <c r="E39" s="167" t="s">
        <v>74</v>
      </c>
      <c r="F39" s="168">
        <v>39073</v>
      </c>
      <c r="G39" s="169" t="s">
        <v>74</v>
      </c>
    </row>
    <row r="40" spans="2:7" ht="12.75" customHeight="1">
      <c r="B40" s="186" t="s">
        <v>110</v>
      </c>
      <c r="C40" s="165">
        <f t="shared" si="1"/>
        <v>-0.11948454449066144</v>
      </c>
      <c r="D40" s="166">
        <v>5398</v>
      </c>
      <c r="E40" s="167" t="s">
        <v>74</v>
      </c>
      <c r="F40" s="168">
        <v>6863</v>
      </c>
      <c r="G40" s="169" t="s">
        <v>74</v>
      </c>
    </row>
    <row r="41" spans="2:7" ht="12.75" customHeight="1">
      <c r="B41" s="186" t="s">
        <v>111</v>
      </c>
      <c r="C41" s="165">
        <f t="shared" si="1"/>
        <v>-0.12853470437017994</v>
      </c>
      <c r="D41" s="166">
        <v>1017</v>
      </c>
      <c r="E41" s="167" t="s">
        <v>74</v>
      </c>
      <c r="F41" s="168">
        <v>1317</v>
      </c>
      <c r="G41" s="169" t="s">
        <v>74</v>
      </c>
    </row>
    <row r="42" spans="2:7" ht="12.75" customHeight="1">
      <c r="B42" s="186" t="s">
        <v>112</v>
      </c>
      <c r="C42" s="165">
        <f t="shared" si="1"/>
        <v>-0.003799768709730712</v>
      </c>
      <c r="D42" s="166">
        <v>3015</v>
      </c>
      <c r="E42" s="167" t="s">
        <v>74</v>
      </c>
      <c r="F42" s="168">
        <v>3038</v>
      </c>
      <c r="G42" s="169" t="s">
        <v>74</v>
      </c>
    </row>
    <row r="43" spans="2:7" ht="12.75" customHeight="1">
      <c r="B43" s="186" t="s">
        <v>113</v>
      </c>
      <c r="C43" s="165">
        <f t="shared" si="1"/>
        <v>-0.0820240748165484</v>
      </c>
      <c r="D43" s="166">
        <v>49226</v>
      </c>
      <c r="E43" s="167">
        <v>12</v>
      </c>
      <c r="F43" s="168">
        <v>58023</v>
      </c>
      <c r="G43" s="169">
        <v>16</v>
      </c>
    </row>
    <row r="44" spans="2:7" ht="12.75" customHeight="1">
      <c r="B44" s="186" t="s">
        <v>114</v>
      </c>
      <c r="C44" s="165">
        <f t="shared" si="1"/>
        <v>-0.10490883590462834</v>
      </c>
      <c r="D44" s="166">
        <v>44674</v>
      </c>
      <c r="E44" s="167" t="s">
        <v>74</v>
      </c>
      <c r="F44" s="168">
        <v>55146</v>
      </c>
      <c r="G44" s="169" t="s">
        <v>74</v>
      </c>
    </row>
    <row r="45" spans="2:7" ht="12.75" customHeight="1">
      <c r="B45" s="186" t="s">
        <v>115</v>
      </c>
      <c r="C45" s="165">
        <f t="shared" si="1"/>
        <v>-0.12131764395227171</v>
      </c>
      <c r="D45" s="166">
        <v>26621</v>
      </c>
      <c r="E45" s="167" t="s">
        <v>74</v>
      </c>
      <c r="F45" s="168">
        <v>33972</v>
      </c>
      <c r="G45" s="169" t="s">
        <v>74</v>
      </c>
    </row>
    <row r="46" spans="2:7" ht="12.75" customHeight="1">
      <c r="B46" s="186" t="s">
        <v>116</v>
      </c>
      <c r="C46" s="165">
        <f t="shared" si="1"/>
        <v>0.013026113671274962</v>
      </c>
      <c r="D46" s="166">
        <v>16487</v>
      </c>
      <c r="E46" s="167" t="s">
        <v>74</v>
      </c>
      <c r="F46" s="168">
        <v>16063</v>
      </c>
      <c r="G46" s="169" t="s">
        <v>74</v>
      </c>
    </row>
    <row r="47" spans="2:7" ht="12.75" customHeight="1">
      <c r="B47" s="186" t="s">
        <v>117</v>
      </c>
      <c r="C47" s="165">
        <f t="shared" si="1"/>
        <v>-0.40461413345888797</v>
      </c>
      <c r="D47" s="166">
        <v>6955</v>
      </c>
      <c r="E47" s="167">
        <v>73</v>
      </c>
      <c r="F47" s="168">
        <v>16408</v>
      </c>
      <c r="G47" s="169">
        <v>125</v>
      </c>
    </row>
    <row r="48" spans="2:7" ht="12.75" customHeight="1">
      <c r="B48" s="186" t="s">
        <v>118</v>
      </c>
      <c r="C48" s="165">
        <f t="shared" si="1"/>
        <v>-0.5088109866281171</v>
      </c>
      <c r="D48" s="166">
        <v>16989</v>
      </c>
      <c r="E48" s="167">
        <v>1</v>
      </c>
      <c r="F48" s="168">
        <v>52186</v>
      </c>
      <c r="G48" s="169">
        <v>2</v>
      </c>
    </row>
    <row r="49" spans="2:7" ht="12.75" customHeight="1">
      <c r="B49" s="186" t="s">
        <v>119</v>
      </c>
      <c r="C49" s="165">
        <f t="shared" si="1"/>
        <v>-0.04851752021563342</v>
      </c>
      <c r="D49" s="166">
        <v>4589</v>
      </c>
      <c r="E49" s="167" t="s">
        <v>74</v>
      </c>
      <c r="F49" s="168">
        <v>5057</v>
      </c>
      <c r="G49" s="169" t="s">
        <v>74</v>
      </c>
    </row>
    <row r="50" spans="2:7" ht="12.75" customHeight="1">
      <c r="B50" s="186" t="s">
        <v>120</v>
      </c>
      <c r="C50" s="165">
        <f t="shared" si="1"/>
        <v>0.02076304650849629</v>
      </c>
      <c r="D50" s="166">
        <v>140236</v>
      </c>
      <c r="E50" s="167" t="s">
        <v>74</v>
      </c>
      <c r="F50" s="168">
        <v>134531</v>
      </c>
      <c r="G50" s="169" t="s">
        <v>74</v>
      </c>
    </row>
    <row r="51" spans="2:7" ht="12.75" customHeight="1">
      <c r="B51" s="186" t="s">
        <v>121</v>
      </c>
      <c r="C51" s="165">
        <f t="shared" si="1"/>
        <v>0.03582978097897986</v>
      </c>
      <c r="D51" s="166">
        <v>28187</v>
      </c>
      <c r="E51" s="167" t="s">
        <v>74</v>
      </c>
      <c r="F51" s="168">
        <v>26237</v>
      </c>
      <c r="G51" s="169" t="s">
        <v>74</v>
      </c>
    </row>
    <row r="52" spans="2:7" ht="12.75" customHeight="1">
      <c r="B52" s="186" t="s">
        <v>122</v>
      </c>
      <c r="C52" s="165">
        <f t="shared" si="1"/>
        <v>0.27628347976665296</v>
      </c>
      <c r="D52" s="166">
        <v>269754</v>
      </c>
      <c r="E52" s="167" t="s">
        <v>74</v>
      </c>
      <c r="F52" s="168">
        <v>152964</v>
      </c>
      <c r="G52" s="169" t="s">
        <v>74</v>
      </c>
    </row>
    <row r="53" spans="2:7" ht="12.75" customHeight="1">
      <c r="B53" s="186" t="s">
        <v>123</v>
      </c>
      <c r="C53" s="165">
        <f t="shared" si="1"/>
        <v>0.0070124400251839955</v>
      </c>
      <c r="D53" s="166">
        <v>69576</v>
      </c>
      <c r="E53" s="167">
        <v>6</v>
      </c>
      <c r="F53" s="168">
        <v>68607</v>
      </c>
      <c r="G53" s="169">
        <v>12</v>
      </c>
    </row>
    <row r="54" spans="2:7" ht="12.75" customHeight="1">
      <c r="B54" s="186" t="s">
        <v>124</v>
      </c>
      <c r="C54" s="165">
        <f t="shared" si="1"/>
        <v>0.04100584686100865</v>
      </c>
      <c r="D54" s="166">
        <v>200657</v>
      </c>
      <c r="E54" s="167">
        <v>1</v>
      </c>
      <c r="F54" s="168">
        <v>184849</v>
      </c>
      <c r="G54" s="169">
        <v>2</v>
      </c>
    </row>
    <row r="55" spans="2:7" ht="12.75" customHeight="1">
      <c r="B55" s="186" t="s">
        <v>125</v>
      </c>
      <c r="C55" s="165">
        <f t="shared" si="1"/>
        <v>-0.09124742473582774</v>
      </c>
      <c r="D55" s="166">
        <v>75207</v>
      </c>
      <c r="E55" s="167">
        <v>3</v>
      </c>
      <c r="F55" s="168">
        <v>90310</v>
      </c>
      <c r="G55" s="169">
        <v>4</v>
      </c>
    </row>
    <row r="56" spans="2:7" ht="12.75" customHeight="1">
      <c r="B56" s="186" t="s">
        <v>126</v>
      </c>
      <c r="C56" s="165">
        <f t="shared" si="1"/>
        <v>-0.05280863714598654</v>
      </c>
      <c r="D56" s="166">
        <v>12107</v>
      </c>
      <c r="E56" s="167" t="s">
        <v>74</v>
      </c>
      <c r="F56" s="168">
        <v>13457</v>
      </c>
      <c r="G56" s="169" t="s">
        <v>74</v>
      </c>
    </row>
    <row r="57" spans="2:7" ht="12.75" customHeight="1">
      <c r="B57" s="186" t="s">
        <v>127</v>
      </c>
      <c r="C57" s="165">
        <f t="shared" si="1"/>
        <v>-0.47848729580731125</v>
      </c>
      <c r="D57" s="166">
        <v>12818</v>
      </c>
      <c r="E57" s="167">
        <v>8</v>
      </c>
      <c r="F57" s="168">
        <v>36339</v>
      </c>
      <c r="G57" s="169">
        <v>29</v>
      </c>
    </row>
    <row r="58" spans="2:7" ht="12.75" customHeight="1">
      <c r="B58" s="186" t="s">
        <v>128</v>
      </c>
      <c r="C58" s="165">
        <f t="shared" si="1"/>
        <v>-0.06569820368494608</v>
      </c>
      <c r="D58" s="166">
        <v>72869</v>
      </c>
      <c r="E58" s="167" t="s">
        <v>74</v>
      </c>
      <c r="F58" s="168">
        <v>83117</v>
      </c>
      <c r="G58" s="169" t="s">
        <v>74</v>
      </c>
    </row>
    <row r="59" spans="2:7" ht="12.75" customHeight="1">
      <c r="B59" s="186" t="s">
        <v>129</v>
      </c>
      <c r="C59" s="165">
        <f t="shared" si="1"/>
        <v>-0.12267344112222905</v>
      </c>
      <c r="D59" s="166">
        <v>59227</v>
      </c>
      <c r="E59" s="167" t="s">
        <v>74</v>
      </c>
      <c r="F59" s="168">
        <v>75790</v>
      </c>
      <c r="G59" s="169" t="s">
        <v>74</v>
      </c>
    </row>
    <row r="60" spans="2:7" ht="12.75" customHeight="1">
      <c r="B60" s="186" t="s">
        <v>130</v>
      </c>
      <c r="C60" s="165">
        <f t="shared" si="1"/>
        <v>-0.33949520085318163</v>
      </c>
      <c r="D60" s="166">
        <v>19509</v>
      </c>
      <c r="E60" s="167" t="s">
        <v>74</v>
      </c>
      <c r="F60" s="168">
        <v>39564</v>
      </c>
      <c r="G60" s="169" t="s">
        <v>74</v>
      </c>
    </row>
    <row r="61" spans="2:7" ht="12.75" customHeight="1">
      <c r="B61" s="186" t="s">
        <v>131</v>
      </c>
      <c r="C61" s="165">
        <f t="shared" si="1"/>
        <v>0.08988395725431063</v>
      </c>
      <c r="D61" s="166">
        <v>41560</v>
      </c>
      <c r="E61" s="167" t="s">
        <v>74</v>
      </c>
      <c r="F61" s="168">
        <v>34705</v>
      </c>
      <c r="G61" s="169" t="s">
        <v>74</v>
      </c>
    </row>
    <row r="62" spans="2:7" ht="12.75" customHeight="1">
      <c r="B62" s="186" t="s">
        <v>132</v>
      </c>
      <c r="C62" s="165">
        <f t="shared" si="1"/>
        <v>-0.1144091159713288</v>
      </c>
      <c r="D62" s="166">
        <v>9637</v>
      </c>
      <c r="E62" s="167" t="s">
        <v>74</v>
      </c>
      <c r="F62" s="168">
        <v>12127</v>
      </c>
      <c r="G62" s="169" t="s">
        <v>74</v>
      </c>
    </row>
    <row r="63" spans="2:7" ht="12.75" customHeight="1">
      <c r="B63" s="186" t="s">
        <v>133</v>
      </c>
      <c r="C63" s="165">
        <f t="shared" si="1"/>
        <v>-0.3254447662391394</v>
      </c>
      <c r="D63" s="166">
        <v>4076</v>
      </c>
      <c r="E63" s="167" t="s">
        <v>74</v>
      </c>
      <c r="F63" s="168">
        <v>8009</v>
      </c>
      <c r="G63" s="169" t="s">
        <v>74</v>
      </c>
    </row>
    <row r="64" spans="2:7" ht="12.75" customHeight="1">
      <c r="B64" s="186" t="s">
        <v>134</v>
      </c>
      <c r="C64" s="165">
        <f t="shared" si="1"/>
        <v>-0.21007902191739974</v>
      </c>
      <c r="D64" s="166">
        <v>2649</v>
      </c>
      <c r="E64" s="167" t="s">
        <v>74</v>
      </c>
      <c r="F64" s="168">
        <v>4058</v>
      </c>
      <c r="G64" s="169" t="s">
        <v>74</v>
      </c>
    </row>
    <row r="65" spans="2:7" ht="12.75" customHeight="1">
      <c r="B65" s="186" t="s">
        <v>135</v>
      </c>
      <c r="C65" s="165">
        <f t="shared" si="1"/>
        <v>-0.24739235089596148</v>
      </c>
      <c r="D65" s="166">
        <v>1407</v>
      </c>
      <c r="E65" s="167" t="s">
        <v>74</v>
      </c>
      <c r="F65" s="168">
        <v>2332</v>
      </c>
      <c r="G65" s="169" t="s">
        <v>74</v>
      </c>
    </row>
    <row r="66" spans="2:7" ht="12.75" customHeight="1">
      <c r="B66" s="186" t="s">
        <v>136</v>
      </c>
      <c r="C66" s="165">
        <f t="shared" si="1"/>
        <v>0.0831751826848693</v>
      </c>
      <c r="D66" s="166">
        <v>97313</v>
      </c>
      <c r="E66" s="167" t="s">
        <v>74</v>
      </c>
      <c r="F66" s="168">
        <v>82368</v>
      </c>
      <c r="G66" s="169" t="s">
        <v>74</v>
      </c>
    </row>
    <row r="67" spans="2:7" ht="12.75" customHeight="1">
      <c r="B67" s="186" t="s">
        <v>137</v>
      </c>
      <c r="C67" s="165">
        <f>(D67-F67)/(D67+F67)</f>
        <v>-0.0807185628742515</v>
      </c>
      <c r="D67" s="166">
        <v>3838</v>
      </c>
      <c r="E67" s="167" t="s">
        <v>74</v>
      </c>
      <c r="F67" s="168">
        <v>4512</v>
      </c>
      <c r="G67" s="169" t="s">
        <v>74</v>
      </c>
    </row>
    <row r="68" spans="2:7" ht="12.75" customHeight="1">
      <c r="B68" s="186" t="s">
        <v>138</v>
      </c>
      <c r="C68" s="165">
        <f>(D68-F68)/(D68+F68)</f>
        <v>-0.36698637051993943</v>
      </c>
      <c r="D68" s="166">
        <v>5643</v>
      </c>
      <c r="E68" s="167" t="s">
        <v>74</v>
      </c>
      <c r="F68" s="168">
        <v>12186</v>
      </c>
      <c r="G68" s="169" t="s">
        <v>74</v>
      </c>
    </row>
    <row r="69" spans="2:7" ht="12.75" customHeight="1" thickBot="1">
      <c r="B69" s="187" t="s">
        <v>139</v>
      </c>
      <c r="C69" s="172">
        <f>(D69-F69)/(D69+F69)</f>
        <v>-0.28191967150006414</v>
      </c>
      <c r="D69" s="173">
        <v>2798</v>
      </c>
      <c r="E69" s="174" t="s">
        <v>74</v>
      </c>
      <c r="F69" s="175">
        <v>4995</v>
      </c>
      <c r="G69" s="176" t="s">
        <v>74</v>
      </c>
    </row>
    <row r="70" spans="2:7" ht="12.75" customHeight="1">
      <c r="B70" s="177" t="s">
        <v>143</v>
      </c>
      <c r="C70" s="178">
        <f>+F70-D70</f>
        <v>537</v>
      </c>
      <c r="D70" s="179">
        <f>SUM(D3:D69)</f>
        <v>2912253</v>
      </c>
      <c r="E70" s="179">
        <v>1311</v>
      </c>
      <c r="F70" s="179">
        <f>SUM(F3:F69)</f>
        <v>2912790</v>
      </c>
      <c r="G70" s="180">
        <v>918</v>
      </c>
    </row>
    <row r="71" ht="12.75" customHeight="1">
      <c r="C71" s="164"/>
    </row>
    <row r="72" ht="12.75" customHeight="1">
      <c r="C72" s="164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T.W.I.N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Sony Customer</dc:creator>
  <cp:keywords/>
  <dc:description/>
  <cp:lastModifiedBy>Valued Sony Customer</cp:lastModifiedBy>
  <cp:lastPrinted>2000-12-09T22:12:17Z</cp:lastPrinted>
  <dcterms:created xsi:type="dcterms:W3CDTF">2000-11-19T03:34:16Z</dcterms:created>
  <dcterms:modified xsi:type="dcterms:W3CDTF">2000-12-11T19:33:32Z</dcterms:modified>
  <cp:category/>
  <cp:version/>
  <cp:contentType/>
  <cp:contentStatus/>
</cp:coreProperties>
</file>