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0365" windowHeight="9525" activeTab="0"/>
  </bookViews>
  <sheets>
    <sheet name="Recount" sheetId="1" r:id="rId1"/>
  </sheets>
  <definedNames>
    <definedName name="_xlnm.Print_Area" localSheetId="0">'Recount'!$A$1:$M$59</definedName>
  </definedNames>
  <calcPr fullCalcOnLoad="1"/>
</workbook>
</file>

<file path=xl/sharedStrings.xml><?xml version="1.0" encoding="utf-8"?>
<sst xmlns="http://schemas.openxmlformats.org/spreadsheetml/2006/main" count="97" uniqueCount="76">
  <si>
    <t>Broward</t>
  </si>
  <si>
    <t>Gore</t>
  </si>
  <si>
    <t>Bush</t>
  </si>
  <si>
    <t>Precincts</t>
  </si>
  <si>
    <t>Uncounted</t>
  </si>
  <si>
    <t>Votes</t>
  </si>
  <si>
    <t>Absentee</t>
  </si>
  <si>
    <t>(Machine)</t>
  </si>
  <si>
    <t>for Gore</t>
  </si>
  <si>
    <t>for Bush</t>
  </si>
  <si>
    <t>Margin</t>
  </si>
  <si>
    <t>Florida by:</t>
  </si>
  <si>
    <t>In</t>
  </si>
  <si>
    <t>Florida</t>
  </si>
  <si>
    <t>Projection</t>
  </si>
  <si>
    <t>Popular</t>
  </si>
  <si>
    <t>Electoral</t>
  </si>
  <si>
    <t>Disputed</t>
  </si>
  <si>
    <t>Election</t>
  </si>
  <si>
    <t>of the state total</t>
  </si>
  <si>
    <t>Multiple of</t>
  </si>
  <si>
    <t>Net Gain</t>
  </si>
  <si>
    <t>for winner</t>
  </si>
  <si>
    <t>Machine Bump</t>
  </si>
  <si>
    <t>Machine Recount Yields "Machine Bump" =</t>
  </si>
  <si>
    <t>Outside</t>
  </si>
  <si>
    <t>Reviewed</t>
  </si>
  <si>
    <t>G</t>
  </si>
  <si>
    <t>B</t>
  </si>
  <si>
    <t>P Total</t>
  </si>
  <si>
    <t>n/a</t>
  </si>
  <si>
    <t>printed:</t>
  </si>
  <si>
    <t>United States</t>
  </si>
  <si>
    <t>Clay</t>
  </si>
  <si>
    <t>Nassau</t>
  </si>
  <si>
    <t xml:space="preserve"> Handcount + Disputes</t>
  </si>
  <si>
    <t>Leon</t>
  </si>
  <si>
    <t>Bay</t>
  </si>
  <si>
    <t>Brevard</t>
  </si>
  <si>
    <t>Okaloosa</t>
  </si>
  <si>
    <t>Duval</t>
  </si>
  <si>
    <t>Collier</t>
  </si>
  <si>
    <t>Escambia</t>
  </si>
  <si>
    <t>Santa Rosa</t>
  </si>
  <si>
    <t>Military / Overseas Absentee Ballots w/o a Postmark</t>
  </si>
  <si>
    <t>Nassau reverts to 7-Nov (claiming 200 cards were missed in the machine recount)</t>
  </si>
  <si>
    <t xml:space="preserve">Broward </t>
  </si>
  <si>
    <t xml:space="preserve">Palm Beach </t>
  </si>
  <si>
    <t>Includes 500 absentee ballots found in the final hours of the hand recount</t>
  </si>
  <si>
    <t>Miami/Dade has cancelled hand recounts (incl. 6 from sample count)</t>
  </si>
  <si>
    <t>Hand Recount yields the "Daly Factor" =</t>
  </si>
  <si>
    <t>Daly Factor</t>
  </si>
  <si>
    <t>at present</t>
  </si>
  <si>
    <t>Dubya Winning</t>
  </si>
  <si>
    <t>P Disputed</t>
  </si>
  <si>
    <t>Pasco</t>
  </si>
  <si>
    <t>Manatee</t>
  </si>
  <si>
    <t>Polk</t>
  </si>
  <si>
    <t>Citrus</t>
  </si>
  <si>
    <t xml:space="preserve">Bay </t>
  </si>
  <si>
    <t xml:space="preserve">Brevard </t>
  </si>
  <si>
    <t xml:space="preserve">Clay </t>
  </si>
  <si>
    <t xml:space="preserve">Citrus </t>
  </si>
  <si>
    <t xml:space="preserve">Collier </t>
  </si>
  <si>
    <t xml:space="preserve">Duval </t>
  </si>
  <si>
    <t xml:space="preserve">Escambia </t>
  </si>
  <si>
    <t xml:space="preserve">Leon </t>
  </si>
  <si>
    <t xml:space="preserve">Okaloosa </t>
  </si>
  <si>
    <t xml:space="preserve">Polk </t>
  </si>
  <si>
    <t xml:space="preserve">Manatee </t>
  </si>
  <si>
    <t xml:space="preserve">Pasco </t>
  </si>
  <si>
    <t xml:space="preserve">Santa Rosa </t>
  </si>
  <si>
    <t>Miami / Dade</t>
  </si>
  <si>
    <t xml:space="preserve">Miami / Dade </t>
  </si>
  <si>
    <t>Palm Beach</t>
  </si>
  <si>
    <t>Missed the FL Supreme Court Mandated Deadline of 5pm / 26-Nov-2000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</si>
</sst>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"/>
    <numFmt numFmtId="173" formatCode="0.00000000"/>
    <numFmt numFmtId="174" formatCode="0.0%"/>
    <numFmt numFmtId="175" formatCode="0.000%"/>
    <numFmt numFmtId="176" formatCode="0.0000%"/>
    <numFmt numFmtId="177" formatCode="0_);[Red]\(0\)"/>
    <numFmt numFmtId="178" formatCode="0_);\(0\)"/>
    <numFmt numFmtId="179" formatCode="0.000000000000_);[Red]\(0.000000000000\)"/>
    <numFmt numFmtId="180" formatCode="0;[Red]0"/>
    <numFmt numFmtId="181" formatCode="0.0_);\(0.0\)"/>
    <numFmt numFmtId="182" formatCode="0.00_);\(0.00\)"/>
    <numFmt numFmtId="183" formatCode="m/d/yy\ h:mm\ AM/PM"/>
    <numFmt numFmtId="184" formatCode="mmmm\-yy"/>
    <numFmt numFmtId="185" formatCode="d\-mmm\-yyyy"/>
  </numFmts>
  <fonts count="43">
    <font>
      <sz val="10"/>
      <name val="Arial"/>
      <family val="0"/>
    </font>
    <font>
      <sz val="10"/>
      <name val="Courier New"/>
      <family val="3"/>
    </font>
    <font>
      <sz val="10"/>
      <color indexed="8"/>
      <name val="Courier New"/>
      <family val="3"/>
    </font>
    <font>
      <b/>
      <u val="single"/>
      <sz val="8"/>
      <name val="Courier New"/>
      <family val="3"/>
    </font>
    <font>
      <sz val="8"/>
      <name val="Courier New"/>
      <family val="3"/>
    </font>
    <font>
      <sz val="7"/>
      <name val="Courier New"/>
      <family val="3"/>
    </font>
    <font>
      <b/>
      <sz val="8"/>
      <name val="Courier New"/>
      <family val="3"/>
    </font>
    <font>
      <i/>
      <sz val="10"/>
      <name val="Courier New"/>
      <family val="3"/>
    </font>
    <font>
      <b/>
      <i/>
      <sz val="8"/>
      <name val="Courier New"/>
      <family val="3"/>
    </font>
    <font>
      <b/>
      <i/>
      <sz val="10"/>
      <name val="Courier New"/>
      <family val="3"/>
    </font>
    <font>
      <b/>
      <sz val="12"/>
      <color indexed="10"/>
      <name val="Courier New"/>
      <family val="3"/>
    </font>
    <font>
      <b/>
      <sz val="12"/>
      <color indexed="12"/>
      <name val="Courier New"/>
      <family val="3"/>
    </font>
    <font>
      <sz val="10"/>
      <color indexed="12"/>
      <name val="Courier New"/>
      <family val="3"/>
    </font>
    <font>
      <b/>
      <i/>
      <sz val="8"/>
      <color indexed="55"/>
      <name val="Courier New"/>
      <family val="3"/>
    </font>
    <font>
      <b/>
      <i/>
      <sz val="10"/>
      <color indexed="55"/>
      <name val="Courier New"/>
      <family val="3"/>
    </font>
    <font>
      <i/>
      <sz val="7"/>
      <color indexed="55"/>
      <name val="Courier New"/>
      <family val="3"/>
    </font>
    <font>
      <sz val="6"/>
      <name val="Courier New"/>
      <family val="3"/>
    </font>
    <font>
      <i/>
      <sz val="8"/>
      <color indexed="12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12"/>
      <name val="Courier New"/>
      <family val="3"/>
    </font>
    <font>
      <b/>
      <sz val="8"/>
      <color indexed="8"/>
      <name val="Courier New"/>
      <family val="3"/>
    </font>
    <font>
      <i/>
      <sz val="6"/>
      <name val="Courier New"/>
      <family val="3"/>
    </font>
    <font>
      <b/>
      <i/>
      <sz val="8"/>
      <color indexed="8"/>
      <name val="Courier New"/>
      <family val="3"/>
    </font>
    <font>
      <b/>
      <i/>
      <sz val="7"/>
      <name val="Courier New"/>
      <family val="3"/>
    </font>
    <font>
      <b/>
      <i/>
      <u val="single"/>
      <sz val="7"/>
      <name val="Courier New"/>
      <family val="3"/>
    </font>
    <font>
      <b/>
      <i/>
      <sz val="8"/>
      <name val="Wingdings 3"/>
      <family val="1"/>
    </font>
    <font>
      <b/>
      <u val="single"/>
      <sz val="12"/>
      <color indexed="10"/>
      <name val="Courier New"/>
      <family val="3"/>
    </font>
    <font>
      <sz val="10"/>
      <color indexed="10"/>
      <name val="Courier New"/>
      <family val="3"/>
    </font>
    <font>
      <b/>
      <i/>
      <sz val="12"/>
      <color indexed="10"/>
      <name val="Courier New"/>
      <family val="3"/>
    </font>
    <font>
      <b/>
      <i/>
      <sz val="10"/>
      <color indexed="10"/>
      <name val="Courier New"/>
      <family val="3"/>
    </font>
    <font>
      <i/>
      <sz val="10"/>
      <color indexed="10"/>
      <name val="Courier New"/>
      <family val="3"/>
    </font>
    <font>
      <i/>
      <sz val="8"/>
      <color indexed="10"/>
      <name val="Courier New"/>
      <family val="3"/>
    </font>
    <font>
      <b/>
      <i/>
      <sz val="8"/>
      <color indexed="10"/>
      <name val="Courier New"/>
      <family val="3"/>
    </font>
    <font>
      <b/>
      <u val="single"/>
      <sz val="12"/>
      <color indexed="12"/>
      <name val="Courier New"/>
      <family val="3"/>
    </font>
    <font>
      <sz val="8"/>
      <color indexed="12"/>
      <name val="Courier New"/>
      <family val="3"/>
    </font>
    <font>
      <sz val="8"/>
      <color indexed="10"/>
      <name val="Courier New"/>
      <family val="3"/>
    </font>
    <font>
      <b/>
      <sz val="10"/>
      <color indexed="10"/>
      <name val="Courier New"/>
      <family val="3"/>
    </font>
    <font>
      <b/>
      <sz val="10"/>
      <color indexed="12"/>
      <name val="Courier New"/>
      <family val="3"/>
    </font>
    <font>
      <sz val="8"/>
      <color indexed="8"/>
      <name val="Courier New"/>
      <family val="3"/>
    </font>
    <font>
      <sz val="10"/>
      <color indexed="55"/>
      <name val="Courier New"/>
      <family val="3"/>
    </font>
    <font>
      <b/>
      <sz val="10"/>
      <color indexed="55"/>
      <name val="Courier New"/>
      <family val="3"/>
    </font>
    <font>
      <sz val="8"/>
      <color indexed="55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15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0" fontId="3" fillId="3" borderId="1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3" fillId="3" borderId="2" xfId="15" applyNumberFormat="1" applyFont="1" applyFill="1" applyBorder="1" applyAlignment="1">
      <alignment horizontal="center"/>
    </xf>
    <xf numFmtId="0" fontId="3" fillId="3" borderId="3" xfId="15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 wrapText="1"/>
    </xf>
    <xf numFmtId="1" fontId="1" fillId="2" borderId="0" xfId="15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1" fontId="1" fillId="2" borderId="3" xfId="0" applyNumberFormat="1" applyFont="1" applyFill="1" applyBorder="1" applyAlignment="1">
      <alignment horizontal="center"/>
    </xf>
    <xf numFmtId="1" fontId="1" fillId="2" borderId="2" xfId="15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1" fontId="1" fillId="2" borderId="0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0" fontId="3" fillId="3" borderId="8" xfId="15" applyNumberFormat="1" applyFont="1" applyFill="1" applyBorder="1" applyAlignment="1">
      <alignment horizontal="center"/>
    </xf>
    <xf numFmtId="0" fontId="3" fillId="3" borderId="9" xfId="15" applyNumberFormat="1" applyFont="1" applyFill="1" applyBorder="1" applyAlignment="1">
      <alignment horizontal="center"/>
    </xf>
    <xf numFmtId="178" fontId="20" fillId="2" borderId="0" xfId="0" applyNumberFormat="1" applyFont="1" applyFill="1" applyBorder="1" applyAlignment="1">
      <alignment vertical="center"/>
    </xf>
    <xf numFmtId="1" fontId="7" fillId="2" borderId="0" xfId="0" applyNumberFormat="1" applyFont="1" applyFill="1" applyAlignment="1">
      <alignment horizontal="center"/>
    </xf>
    <xf numFmtId="0" fontId="3" fillId="3" borderId="1" xfId="15" applyNumberFormat="1" applyFont="1" applyFill="1" applyBorder="1" applyAlignment="1">
      <alignment horizontal="right"/>
    </xf>
    <xf numFmtId="1" fontId="6" fillId="2" borderId="0" xfId="0" applyNumberFormat="1" applyFont="1" applyFill="1" applyAlignment="1">
      <alignment horizontal="right"/>
    </xf>
    <xf numFmtId="185" fontId="5" fillId="2" borderId="0" xfId="0" applyNumberFormat="1" applyFont="1" applyFill="1" applyAlignment="1">
      <alignment horizontal="right"/>
    </xf>
    <xf numFmtId="18" fontId="5" fillId="2" borderId="0" xfId="0" applyNumberFormat="1" applyFont="1" applyFill="1" applyAlignment="1">
      <alignment horizontal="left"/>
    </xf>
    <xf numFmtId="1" fontId="1" fillId="2" borderId="5" xfId="15" applyNumberFormat="1" applyFont="1" applyFill="1" applyBorder="1" applyAlignment="1">
      <alignment horizontal="center"/>
    </xf>
    <xf numFmtId="1" fontId="1" fillId="2" borderId="6" xfId="15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78" fontId="14" fillId="4" borderId="5" xfId="0" applyNumberFormat="1" applyFont="1" applyFill="1" applyBorder="1" applyAlignment="1">
      <alignment horizontal="center"/>
    </xf>
    <xf numFmtId="178" fontId="14" fillId="4" borderId="10" xfId="0" applyNumberFormat="1" applyFont="1" applyFill="1" applyBorder="1" applyAlignment="1">
      <alignment horizontal="center"/>
    </xf>
    <xf numFmtId="178" fontId="14" fillId="4" borderId="6" xfId="0" applyNumberFormat="1" applyFont="1" applyFill="1" applyBorder="1" applyAlignment="1">
      <alignment horizontal="center"/>
    </xf>
    <xf numFmtId="178" fontId="14" fillId="4" borderId="11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3" fillId="3" borderId="12" xfId="15" applyNumberFormat="1" applyFont="1" applyFill="1" applyBorder="1" applyAlignment="1">
      <alignment horizontal="right"/>
    </xf>
    <xf numFmtId="0" fontId="3" fillId="3" borderId="3" xfId="15" applyNumberFormat="1" applyFont="1" applyFill="1" applyBorder="1" applyAlignment="1">
      <alignment horizontal="right"/>
    </xf>
    <xf numFmtId="178" fontId="6" fillId="3" borderId="0" xfId="0" applyNumberFormat="1" applyFont="1" applyFill="1" applyBorder="1" applyAlignment="1">
      <alignment horizontal="right"/>
    </xf>
    <xf numFmtId="178" fontId="6" fillId="3" borderId="0" xfId="0" applyNumberFormat="1" applyFont="1" applyFill="1" applyBorder="1" applyAlignment="1">
      <alignment horizontal="center"/>
    </xf>
    <xf numFmtId="178" fontId="13" fillId="3" borderId="5" xfId="0" applyNumberFormat="1" applyFont="1" applyFill="1" applyBorder="1" applyAlignment="1">
      <alignment horizontal="center"/>
    </xf>
    <xf numFmtId="178" fontId="6" fillId="3" borderId="3" xfId="0" applyNumberFormat="1" applyFont="1" applyFill="1" applyBorder="1" applyAlignment="1">
      <alignment horizontal="center"/>
    </xf>
    <xf numFmtId="178" fontId="23" fillId="3" borderId="5" xfId="0" applyNumberFormat="1" applyFont="1" applyFill="1" applyBorder="1" applyAlignment="1">
      <alignment horizontal="center"/>
    </xf>
    <xf numFmtId="171" fontId="4" fillId="2" borderId="0" xfId="0" applyNumberFormat="1" applyFont="1" applyFill="1" applyAlignment="1">
      <alignment/>
    </xf>
    <xf numFmtId="171" fontId="7" fillId="2" borderId="0" xfId="0" applyNumberFormat="1" applyFont="1" applyFill="1" applyAlignment="1">
      <alignment horizontal="center"/>
    </xf>
    <xf numFmtId="171" fontId="1" fillId="2" borderId="0" xfId="0" applyNumberFormat="1" applyFont="1" applyFill="1" applyAlignment="1">
      <alignment horizontal="center"/>
    </xf>
    <xf numFmtId="171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1" fontId="3" fillId="2" borderId="0" xfId="15" applyNumberFormat="1" applyFont="1" applyFill="1" applyBorder="1" applyAlignment="1">
      <alignment horizontal="center"/>
    </xf>
    <xf numFmtId="1" fontId="5" fillId="2" borderId="0" xfId="21" applyNumberFormat="1" applyFont="1" applyFill="1" applyAlignment="1">
      <alignment horizontal="center"/>
    </xf>
    <xf numFmtId="1" fontId="16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6" fillId="3" borderId="4" xfId="0" applyNumberFormat="1" applyFont="1" applyFill="1" applyBorder="1" applyAlignment="1">
      <alignment horizontal="right"/>
    </xf>
    <xf numFmtId="0" fontId="6" fillId="3" borderId="10" xfId="0" applyNumberFormat="1" applyFont="1" applyFill="1" applyBorder="1" applyAlignment="1">
      <alignment horizontal="right"/>
    </xf>
    <xf numFmtId="0" fontId="6" fillId="3" borderId="1" xfId="0" applyNumberFormat="1" applyFont="1" applyFill="1" applyBorder="1" applyAlignment="1">
      <alignment horizontal="right"/>
    </xf>
    <xf numFmtId="0" fontId="13" fillId="3" borderId="10" xfId="0" applyNumberFormat="1" applyFont="1" applyFill="1" applyBorder="1" applyAlignment="1">
      <alignment horizontal="right"/>
    </xf>
    <xf numFmtId="0" fontId="6" fillId="2" borderId="0" xfId="0" applyNumberFormat="1" applyFont="1" applyFill="1" applyAlignment="1">
      <alignment horizontal="center"/>
    </xf>
    <xf numFmtId="0" fontId="6" fillId="3" borderId="1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0" fontId="21" fillId="3" borderId="4" xfId="0" applyNumberFormat="1" applyFont="1" applyFill="1" applyBorder="1" applyAlignment="1">
      <alignment horizontal="right"/>
    </xf>
    <xf numFmtId="0" fontId="3" fillId="3" borderId="3" xfId="0" applyNumberFormat="1" applyFont="1" applyFill="1" applyBorder="1" applyAlignment="1">
      <alignment horizontal="right"/>
    </xf>
    <xf numFmtId="0" fontId="6" fillId="3" borderId="3" xfId="0" applyNumberFormat="1" applyFont="1" applyFill="1" applyBorder="1" applyAlignment="1">
      <alignment horizontal="left"/>
    </xf>
    <xf numFmtId="0" fontId="6" fillId="3" borderId="8" xfId="0" applyNumberFormat="1" applyFont="1" applyFill="1" applyBorder="1" applyAlignment="1">
      <alignment horizontal="left"/>
    </xf>
    <xf numFmtId="9" fontId="4" fillId="2" borderId="0" xfId="21" applyNumberFormat="1" applyFont="1" applyFill="1" applyAlignment="1">
      <alignment horizontal="right" vertical="top"/>
    </xf>
    <xf numFmtId="0" fontId="4" fillId="2" borderId="0" xfId="0" applyNumberFormat="1" applyFont="1" applyFill="1" applyAlignment="1">
      <alignment horizontal="left" vertical="top"/>
    </xf>
    <xf numFmtId="0" fontId="5" fillId="2" borderId="0" xfId="0" applyNumberFormat="1" applyFont="1" applyFill="1" applyAlignment="1">
      <alignment horizontal="right"/>
    </xf>
    <xf numFmtId="0" fontId="22" fillId="2" borderId="0" xfId="0" applyNumberFormat="1" applyFont="1" applyFill="1" applyAlignment="1">
      <alignment horizontal="left"/>
    </xf>
    <xf numFmtId="0" fontId="22" fillId="2" borderId="0" xfId="0" applyFont="1" applyFill="1" applyAlignment="1">
      <alignment horizontal="left"/>
    </xf>
    <xf numFmtId="178" fontId="22" fillId="2" borderId="0" xfId="0" applyNumberFormat="1" applyFont="1" applyFill="1" applyAlignment="1">
      <alignment horizontal="center"/>
    </xf>
    <xf numFmtId="178" fontId="6" fillId="3" borderId="4" xfId="0" applyNumberFormat="1" applyFont="1" applyFill="1" applyBorder="1" applyAlignment="1">
      <alignment horizontal="right"/>
    </xf>
    <xf numFmtId="1" fontId="24" fillId="2" borderId="0" xfId="0" applyNumberFormat="1" applyFont="1" applyFill="1" applyAlignment="1">
      <alignment horizontal="left"/>
    </xf>
    <xf numFmtId="1" fontId="25" fillId="2" borderId="0" xfId="0" applyNumberFormat="1" applyFont="1" applyFill="1" applyAlignment="1">
      <alignment horizontal="left" vertical="top"/>
    </xf>
    <xf numFmtId="1" fontId="26" fillId="2" borderId="0" xfId="0" applyNumberFormat="1" applyFont="1" applyFill="1" applyAlignment="1">
      <alignment horizontal="center" vertical="top"/>
    </xf>
    <xf numFmtId="0" fontId="24" fillId="2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horizontal="right"/>
    </xf>
    <xf numFmtId="0" fontId="24" fillId="2" borderId="0" xfId="15" applyNumberFormat="1" applyFont="1" applyFill="1" applyBorder="1" applyAlignment="1">
      <alignment horizontal="left"/>
    </xf>
    <xf numFmtId="0" fontId="25" fillId="2" borderId="0" xfId="15" applyNumberFormat="1" applyFont="1" applyFill="1" applyBorder="1" applyAlignment="1">
      <alignment horizontal="left" vertical="top"/>
    </xf>
    <xf numFmtId="0" fontId="25" fillId="2" borderId="0" xfId="0" applyNumberFormat="1" applyFont="1" applyFill="1" applyAlignment="1">
      <alignment horizontal="left"/>
    </xf>
    <xf numFmtId="0" fontId="25" fillId="2" borderId="4" xfId="15" applyNumberFormat="1" applyFont="1" applyFill="1" applyBorder="1" applyAlignment="1">
      <alignment horizontal="left" vertical="top"/>
    </xf>
    <xf numFmtId="1" fontId="24" fillId="2" borderId="0" xfId="0" applyNumberFormat="1" applyFont="1" applyFill="1" applyAlignment="1">
      <alignment horizontal="right"/>
    </xf>
    <xf numFmtId="0" fontId="27" fillId="2" borderId="3" xfId="0" applyFont="1" applyFill="1" applyBorder="1" applyAlignment="1">
      <alignment horizontal="left"/>
    </xf>
    <xf numFmtId="0" fontId="28" fillId="2" borderId="8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13" xfId="0" applyFont="1" applyFill="1" applyBorder="1" applyAlignment="1">
      <alignment horizontal="center"/>
    </xf>
    <xf numFmtId="0" fontId="10" fillId="2" borderId="5" xfId="0" applyFont="1" applyFill="1" applyBorder="1" applyAlignment="1">
      <alignment/>
    </xf>
    <xf numFmtId="0" fontId="23" fillId="3" borderId="10" xfId="0" applyNumberFormat="1" applyFont="1" applyFill="1" applyBorder="1" applyAlignment="1">
      <alignment horizontal="right"/>
    </xf>
    <xf numFmtId="174" fontId="12" fillId="2" borderId="0" xfId="21" applyNumberFormat="1" applyFont="1" applyFill="1" applyBorder="1" applyAlignment="1">
      <alignment horizontal="right"/>
    </xf>
    <xf numFmtId="174" fontId="28" fillId="2" borderId="0" xfId="21" applyNumberFormat="1" applyFont="1" applyFill="1" applyBorder="1" applyAlignment="1">
      <alignment horizontal="right"/>
    </xf>
    <xf numFmtId="174" fontId="28" fillId="2" borderId="5" xfId="21" applyNumberFormat="1" applyFont="1" applyFill="1" applyBorder="1" applyAlignment="1">
      <alignment horizontal="right"/>
    </xf>
    <xf numFmtId="178" fontId="29" fillId="2" borderId="0" xfId="0" applyNumberFormat="1" applyFont="1" applyFill="1" applyBorder="1" applyAlignment="1">
      <alignment vertical="center"/>
    </xf>
    <xf numFmtId="178" fontId="29" fillId="2" borderId="5" xfId="0" applyNumberFormat="1" applyFont="1" applyFill="1" applyBorder="1" applyAlignment="1">
      <alignment vertical="center"/>
    </xf>
    <xf numFmtId="178" fontId="29" fillId="2" borderId="0" xfId="0" applyNumberFormat="1" applyFont="1" applyFill="1" applyAlignment="1">
      <alignment vertical="center"/>
    </xf>
    <xf numFmtId="178" fontId="31" fillId="2" borderId="14" xfId="0" applyNumberFormat="1" applyFont="1" applyFill="1" applyBorder="1" applyAlignment="1">
      <alignment horizontal="center" vertical="center"/>
    </xf>
    <xf numFmtId="178" fontId="32" fillId="2" borderId="13" xfId="0" applyNumberFormat="1" applyFont="1" applyFill="1" applyBorder="1" applyAlignment="1">
      <alignment horizontal="center" vertical="center"/>
    </xf>
    <xf numFmtId="178" fontId="32" fillId="2" borderId="0" xfId="0" applyNumberFormat="1" applyFont="1" applyFill="1" applyAlignment="1">
      <alignment horizontal="left"/>
    </xf>
    <xf numFmtId="178" fontId="31" fillId="2" borderId="7" xfId="0" applyNumberFormat="1" applyFont="1" applyFill="1" applyBorder="1" applyAlignment="1">
      <alignment horizontal="center" vertical="center"/>
    </xf>
    <xf numFmtId="178" fontId="31" fillId="2" borderId="15" xfId="0" applyNumberFormat="1" applyFont="1" applyFill="1" applyBorder="1" applyAlignment="1">
      <alignment horizontal="center" vertical="center"/>
    </xf>
    <xf numFmtId="178" fontId="32" fillId="2" borderId="11" xfId="0" applyNumberFormat="1" applyFont="1" applyFill="1" applyBorder="1" applyAlignment="1">
      <alignment horizontal="center" vertical="center"/>
    </xf>
    <xf numFmtId="178" fontId="30" fillId="2" borderId="0" xfId="0" applyNumberFormat="1" applyFont="1" applyFill="1" applyAlignment="1">
      <alignment horizontal="center" vertical="center"/>
    </xf>
    <xf numFmtId="178" fontId="33" fillId="2" borderId="0" xfId="0" applyNumberFormat="1" applyFont="1" applyFill="1" applyAlignment="1">
      <alignment horizontal="center" vertical="center"/>
    </xf>
    <xf numFmtId="1" fontId="17" fillId="2" borderId="0" xfId="0" applyNumberFormat="1" applyFont="1" applyFill="1" applyAlignment="1">
      <alignment horizontal="left"/>
    </xf>
    <xf numFmtId="1" fontId="11" fillId="2" borderId="11" xfId="0" applyNumberFormat="1" applyFont="1" applyFill="1" applyBorder="1" applyAlignment="1">
      <alignment horizontal="left"/>
    </xf>
    <xf numFmtId="0" fontId="34" fillId="2" borderId="1" xfId="0" applyNumberFormat="1" applyFont="1" applyFill="1" applyBorder="1" applyAlignment="1">
      <alignment horizontal="left"/>
    </xf>
    <xf numFmtId="0" fontId="11" fillId="2" borderId="4" xfId="0" applyNumberFormat="1" applyFont="1" applyFill="1" applyBorder="1" applyAlignment="1">
      <alignment/>
    </xf>
    <xf numFmtId="0" fontId="11" fillId="2" borderId="10" xfId="0" applyNumberFormat="1" applyFont="1" applyFill="1" applyBorder="1" applyAlignment="1">
      <alignment/>
    </xf>
    <xf numFmtId="0" fontId="28" fillId="2" borderId="0" xfId="0" applyNumberFormat="1" applyFont="1" applyFill="1" applyBorder="1" applyAlignment="1">
      <alignment horizontal="right"/>
    </xf>
    <xf numFmtId="0" fontId="28" fillId="2" borderId="16" xfId="15" applyNumberFormat="1" applyFont="1" applyFill="1" applyBorder="1" applyAlignment="1">
      <alignment horizontal="right" wrapText="1"/>
    </xf>
    <xf numFmtId="178" fontId="28" fillId="2" borderId="0" xfId="21" applyNumberFormat="1" applyFont="1" applyFill="1" applyBorder="1" applyAlignment="1">
      <alignment horizontal="left"/>
    </xf>
    <xf numFmtId="178" fontId="28" fillId="2" borderId="13" xfId="15" applyNumberFormat="1" applyFont="1" applyFill="1" applyBorder="1" applyAlignment="1">
      <alignment horizontal="left" wrapText="1"/>
    </xf>
    <xf numFmtId="0" fontId="28" fillId="2" borderId="5" xfId="0" applyNumberFormat="1" applyFont="1" applyFill="1" applyBorder="1" applyAlignment="1">
      <alignment horizontal="right"/>
    </xf>
    <xf numFmtId="0" fontId="28" fillId="2" borderId="17" xfId="15" applyNumberFormat="1" applyFont="1" applyFill="1" applyBorder="1" applyAlignment="1">
      <alignment horizontal="right" wrapText="1"/>
    </xf>
    <xf numFmtId="178" fontId="28" fillId="2" borderId="5" xfId="21" applyNumberFormat="1" applyFont="1" applyFill="1" applyBorder="1" applyAlignment="1">
      <alignment horizontal="left"/>
    </xf>
    <xf numFmtId="178" fontId="28" fillId="2" borderId="11" xfId="15" applyNumberFormat="1" applyFont="1" applyFill="1" applyBorder="1" applyAlignment="1">
      <alignment horizontal="left" wrapText="1"/>
    </xf>
    <xf numFmtId="0" fontId="12" fillId="2" borderId="0" xfId="0" applyNumberFormat="1" applyFont="1" applyFill="1" applyBorder="1" applyAlignment="1">
      <alignment horizontal="right"/>
    </xf>
    <xf numFmtId="0" fontId="12" fillId="2" borderId="16" xfId="15" applyNumberFormat="1" applyFont="1" applyFill="1" applyBorder="1" applyAlignment="1">
      <alignment horizontal="right" wrapText="1"/>
    </xf>
    <xf numFmtId="178" fontId="12" fillId="2" borderId="0" xfId="21" applyNumberFormat="1" applyFont="1" applyFill="1" applyBorder="1" applyAlignment="1">
      <alignment horizontal="left"/>
    </xf>
    <xf numFmtId="178" fontId="12" fillId="2" borderId="13" xfId="15" applyNumberFormat="1" applyFont="1" applyFill="1" applyBorder="1" applyAlignment="1">
      <alignment horizontal="left" wrapText="1"/>
    </xf>
    <xf numFmtId="178" fontId="35" fillId="2" borderId="0" xfId="0" applyNumberFormat="1" applyFont="1" applyFill="1" applyAlignment="1">
      <alignment horizontal="left"/>
    </xf>
    <xf numFmtId="178" fontId="12" fillId="2" borderId="16" xfId="15" applyNumberFormat="1" applyFont="1" applyFill="1" applyBorder="1" applyAlignment="1">
      <alignment horizontal="right" wrapText="1"/>
    </xf>
    <xf numFmtId="178" fontId="36" fillId="2" borderId="0" xfId="0" applyNumberFormat="1" applyFont="1" applyFill="1" applyAlignment="1">
      <alignment horizontal="left"/>
    </xf>
    <xf numFmtId="178" fontId="37" fillId="4" borderId="0" xfId="0" applyNumberFormat="1" applyFont="1" applyFill="1" applyBorder="1" applyAlignment="1">
      <alignment horizontal="center"/>
    </xf>
    <xf numFmtId="178" fontId="30" fillId="4" borderId="5" xfId="0" applyNumberFormat="1" applyFont="1" applyFill="1" applyBorder="1" applyAlignment="1">
      <alignment horizontal="center"/>
    </xf>
    <xf numFmtId="178" fontId="37" fillId="4" borderId="18" xfId="0" applyNumberFormat="1" applyFont="1" applyFill="1" applyBorder="1" applyAlignment="1">
      <alignment horizontal="center"/>
    </xf>
    <xf numFmtId="178" fontId="37" fillId="4" borderId="4" xfId="0" applyNumberFormat="1" applyFont="1" applyFill="1" applyBorder="1" applyAlignment="1">
      <alignment horizontal="center"/>
    </xf>
    <xf numFmtId="178" fontId="38" fillId="4" borderId="0" xfId="0" applyNumberFormat="1" applyFont="1" applyFill="1" applyBorder="1" applyAlignment="1">
      <alignment horizontal="center"/>
    </xf>
    <xf numFmtId="178" fontId="38" fillId="4" borderId="7" xfId="0" applyNumberFormat="1" applyFont="1" applyFill="1" applyBorder="1" applyAlignment="1">
      <alignment horizontal="center"/>
    </xf>
    <xf numFmtId="178" fontId="21" fillId="2" borderId="0" xfId="0" applyNumberFormat="1" applyFont="1" applyFill="1" applyAlignment="1">
      <alignment horizontal="center"/>
    </xf>
    <xf numFmtId="1" fontId="36" fillId="2" borderId="0" xfId="0" applyNumberFormat="1" applyFont="1" applyFill="1" applyAlignment="1">
      <alignment horizontal="left"/>
    </xf>
    <xf numFmtId="178" fontId="37" fillId="4" borderId="13" xfId="0" applyNumberFormat="1" applyFont="1" applyFill="1" applyBorder="1" applyAlignment="1">
      <alignment horizontal="center"/>
    </xf>
    <xf numFmtId="178" fontId="38" fillId="4" borderId="4" xfId="0" applyNumberFormat="1" applyFont="1" applyFill="1" applyBorder="1" applyAlignment="1">
      <alignment horizontal="center"/>
    </xf>
    <xf numFmtId="178" fontId="38" fillId="4" borderId="13" xfId="0" applyNumberFormat="1" applyFont="1" applyFill="1" applyBorder="1" applyAlignment="1">
      <alignment horizontal="center"/>
    </xf>
    <xf numFmtId="1" fontId="35" fillId="2" borderId="0" xfId="0" applyNumberFormat="1" applyFont="1" applyFill="1" applyAlignment="1">
      <alignment horizontal="left"/>
    </xf>
    <xf numFmtId="9" fontId="21" fillId="2" borderId="0" xfId="21" applyNumberFormat="1" applyFont="1" applyFill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39" fillId="2" borderId="0" xfId="0" applyNumberFormat="1" applyFont="1" applyFill="1" applyAlignment="1">
      <alignment horizontal="right"/>
    </xf>
    <xf numFmtId="174" fontId="2" fillId="2" borderId="0" xfId="0" applyNumberFormat="1" applyFont="1" applyFill="1" applyAlignment="1">
      <alignment horizontal="right"/>
    </xf>
    <xf numFmtId="1" fontId="21" fillId="2" borderId="0" xfId="0" applyNumberFormat="1" applyFont="1" applyFill="1" applyAlignment="1">
      <alignment horizontal="right"/>
    </xf>
    <xf numFmtId="178" fontId="21" fillId="2" borderId="0" xfId="0" applyNumberFormat="1" applyFont="1" applyFill="1" applyAlignment="1">
      <alignment horizontal="left"/>
    </xf>
    <xf numFmtId="178" fontId="40" fillId="2" borderId="0" xfId="21" applyNumberFormat="1" applyFont="1" applyFill="1" applyBorder="1" applyAlignment="1">
      <alignment horizontal="left"/>
    </xf>
    <xf numFmtId="178" fontId="40" fillId="2" borderId="13" xfId="15" applyNumberFormat="1" applyFont="1" applyFill="1" applyBorder="1" applyAlignment="1">
      <alignment horizontal="left" wrapText="1"/>
    </xf>
    <xf numFmtId="178" fontId="23" fillId="3" borderId="5" xfId="0" applyNumberFormat="1" applyFont="1" applyFill="1" applyBorder="1" applyAlignment="1">
      <alignment horizontal="right"/>
    </xf>
    <xf numFmtId="0" fontId="6" fillId="3" borderId="0" xfId="0" applyNumberFormat="1" applyFont="1" applyFill="1" applyBorder="1" applyAlignment="1">
      <alignment horizontal="right"/>
    </xf>
    <xf numFmtId="0" fontId="21" fillId="3" borderId="0" xfId="0" applyNumberFormat="1" applyFont="1" applyFill="1" applyBorder="1" applyAlignment="1">
      <alignment horizontal="right"/>
    </xf>
    <xf numFmtId="1" fontId="32" fillId="2" borderId="0" xfId="0" applyNumberFormat="1" applyFont="1" applyFill="1" applyAlignment="1">
      <alignment horizontal="left"/>
    </xf>
    <xf numFmtId="178" fontId="41" fillId="4" borderId="0" xfId="0" applyNumberFormat="1" applyFont="1" applyFill="1" applyBorder="1" applyAlignment="1">
      <alignment horizontal="center"/>
    </xf>
    <xf numFmtId="178" fontId="41" fillId="4" borderId="4" xfId="0" applyNumberFormat="1" applyFont="1" applyFill="1" applyBorder="1" applyAlignment="1">
      <alignment horizontal="center"/>
    </xf>
    <xf numFmtId="178" fontId="41" fillId="4" borderId="7" xfId="0" applyNumberFormat="1" applyFont="1" applyFill="1" applyBorder="1" applyAlignment="1">
      <alignment horizontal="center"/>
    </xf>
    <xf numFmtId="178" fontId="41" fillId="4" borderId="13" xfId="0" applyNumberFormat="1" applyFont="1" applyFill="1" applyBorder="1" applyAlignment="1">
      <alignment horizontal="center"/>
    </xf>
    <xf numFmtId="1" fontId="42" fillId="2" borderId="0" xfId="0" applyNumberFormat="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2"/>
  <sheetViews>
    <sheetView tabSelected="1" workbookViewId="0" topLeftCell="A1">
      <selection activeCell="A1" sqref="A1"/>
    </sheetView>
  </sheetViews>
  <sheetFormatPr defaultColWidth="9.140625" defaultRowHeight="13.5" customHeight="1"/>
  <cols>
    <col min="1" max="1" width="4.28125" style="64" customWidth="1"/>
    <col min="2" max="2" width="15.57421875" style="3" customWidth="1"/>
    <col min="3" max="3" width="4.28125" style="3" customWidth="1"/>
    <col min="4" max="4" width="10.28125" style="2" customWidth="1"/>
    <col min="5" max="5" width="12.140625" style="2" customWidth="1"/>
    <col min="6" max="7" width="11.00390625" style="2" customWidth="1"/>
    <col min="8" max="8" width="9.8515625" style="2" customWidth="1"/>
    <col min="9" max="10" width="10.57421875" style="2" customWidth="1"/>
    <col min="11" max="11" width="11.140625" style="7" customWidth="1"/>
    <col min="12" max="12" width="10.8515625" style="7" customWidth="1"/>
    <col min="13" max="13" width="4.28125" style="7" customWidth="1"/>
    <col min="14" max="14" width="4.421875" style="61" customWidth="1"/>
    <col min="15" max="15" width="11.140625" style="7" customWidth="1"/>
    <col min="16" max="16" width="3.7109375" style="2" customWidth="1"/>
    <col min="17" max="17" width="10.00390625" style="2" customWidth="1"/>
    <col min="18" max="18" width="12.7109375" style="2" customWidth="1"/>
    <col min="19" max="19" width="4.421875" style="4" customWidth="1"/>
    <col min="20" max="20" width="4.57421875" style="4" customWidth="1"/>
    <col min="21" max="21" width="9.28125" style="4" customWidth="1"/>
    <col min="22" max="22" width="3.8515625" style="2" customWidth="1"/>
    <col min="23" max="23" width="9.140625" style="2" customWidth="1"/>
    <col min="24" max="25" width="10.140625" style="1" customWidth="1"/>
    <col min="26" max="16384" width="9.140625" style="1" customWidth="1"/>
  </cols>
  <sheetData>
    <row r="1" ht="13.5" customHeight="1" thickBot="1"/>
    <row r="2" spans="2:25" ht="13.5" customHeight="1" thickBot="1">
      <c r="B2" s="123" t="s">
        <v>14</v>
      </c>
      <c r="C2" s="101"/>
      <c r="D2" s="102"/>
      <c r="E2" s="98" t="s">
        <v>52</v>
      </c>
      <c r="G2" s="25"/>
      <c r="H2" s="68" t="s">
        <v>32</v>
      </c>
      <c r="I2" s="7"/>
      <c r="J2" s="17">
        <f>+I4-J4</f>
        <v>328696</v>
      </c>
      <c r="P2" s="1"/>
      <c r="X2" s="2"/>
      <c r="Y2" s="4"/>
    </row>
    <row r="3" spans="2:16" ht="13.5" customHeight="1">
      <c r="B3" s="124" t="s">
        <v>53</v>
      </c>
      <c r="C3" s="103"/>
      <c r="D3" s="104"/>
      <c r="E3" s="121">
        <f>J8-(F32-G32)</f>
        <v>359</v>
      </c>
      <c r="G3" s="26"/>
      <c r="H3" s="41"/>
      <c r="I3" s="9" t="s">
        <v>1</v>
      </c>
      <c r="J3" s="8" t="s">
        <v>2</v>
      </c>
      <c r="P3" s="1"/>
    </row>
    <row r="4" spans="2:16" ht="13.5" customHeight="1" thickBot="1">
      <c r="B4" s="125" t="s">
        <v>11</v>
      </c>
      <c r="C4" s="105"/>
      <c r="D4" s="122">
        <f>+(J8-D11)</f>
        <v>283.9379562043796</v>
      </c>
      <c r="G4" s="27"/>
      <c r="H4" s="69" t="s">
        <v>15</v>
      </c>
      <c r="I4" s="30">
        <v>50133912</v>
      </c>
      <c r="J4" s="31">
        <v>49805216</v>
      </c>
      <c r="P4" s="1"/>
    </row>
    <row r="5" spans="4:16" ht="13.5" customHeight="1" thickBot="1">
      <c r="D5" s="1"/>
      <c r="H5" s="70" t="s">
        <v>16</v>
      </c>
      <c r="I5" s="19">
        <v>267</v>
      </c>
      <c r="J5" s="20">
        <v>246</v>
      </c>
      <c r="P5" s="1"/>
    </row>
    <row r="6" spans="1:14" s="5" customFormat="1" ht="13.5" customHeight="1">
      <c r="A6" s="13"/>
      <c r="B6" s="6"/>
      <c r="C6" s="58"/>
      <c r="D6" s="54" t="s">
        <v>29</v>
      </c>
      <c r="E6" s="38" t="s">
        <v>54</v>
      </c>
      <c r="F6" s="37" t="s">
        <v>25</v>
      </c>
      <c r="G6" s="97" t="s">
        <v>51</v>
      </c>
      <c r="H6" s="42">
        <f>I4+J4</f>
        <v>99939128</v>
      </c>
      <c r="I6" s="13"/>
      <c r="J6" s="13"/>
      <c r="N6" s="60"/>
    </row>
    <row r="7" spans="2:16" ht="13.5" customHeight="1">
      <c r="B7" s="69" t="s">
        <v>0</v>
      </c>
      <c r="C7" s="56">
        <v>-4</v>
      </c>
      <c r="D7" s="110">
        <f>(D15/E15)*(F15-G15)</f>
        <v>567</v>
      </c>
      <c r="E7" s="113">
        <f>K15*E35</f>
        <v>898.6463702227408</v>
      </c>
      <c r="F7" s="114">
        <f>((G35/(G35+I35))*F35)-((I35/(G35+I35))*F35)</f>
        <v>5421.189973296641</v>
      </c>
      <c r="G7" s="115">
        <f>D7/K35</f>
        <v>35.4375</v>
      </c>
      <c r="H7" s="14"/>
      <c r="I7" s="5"/>
      <c r="J7" s="17"/>
      <c r="P7" s="32"/>
    </row>
    <row r="8" spans="2:16" ht="13.5" customHeight="1" thickBot="1">
      <c r="B8" s="69"/>
      <c r="C8" s="55" t="s">
        <v>47</v>
      </c>
      <c r="D8" s="110">
        <f>(D16/E16)*(F16-G16)</f>
        <v>165.06204379562044</v>
      </c>
      <c r="E8" s="113">
        <f>K16*E36</f>
        <v>4006.110456616468</v>
      </c>
      <c r="F8" s="114">
        <f>((G36/(G36+I36))*F36)-((I36/(G36+I36))*F36)</f>
        <v>8206.171916029125</v>
      </c>
      <c r="G8" s="115">
        <f>D8/K36</f>
        <v>18.340227088402273</v>
      </c>
      <c r="H8" s="68" t="s">
        <v>13</v>
      </c>
      <c r="I8" s="5"/>
      <c r="J8" s="17">
        <f>+J11-I11</f>
        <v>930</v>
      </c>
      <c r="P8" s="32"/>
    </row>
    <row r="9" spans="1:16" ht="13.5" customHeight="1">
      <c r="A9" s="65"/>
      <c r="B9" s="69" t="s">
        <v>6</v>
      </c>
      <c r="C9" s="56">
        <v>-1</v>
      </c>
      <c r="D9" s="39">
        <f>SUM(F17:F29)-SUM(G17:G29)</f>
        <v>-92</v>
      </c>
      <c r="E9" s="113"/>
      <c r="F9" s="116"/>
      <c r="G9" s="115"/>
      <c r="H9" s="71" t="s">
        <v>18</v>
      </c>
      <c r="I9" s="15">
        <f>H50+$D$52+1305065</f>
        <v>4410021</v>
      </c>
      <c r="J9" s="16">
        <f>J50+$D$52+1305365</f>
        <v>4410321</v>
      </c>
      <c r="P9" s="32"/>
    </row>
    <row r="10" spans="1:19" ht="13.5" customHeight="1" thickBot="1">
      <c r="A10" s="10"/>
      <c r="B10" s="106" t="s">
        <v>72</v>
      </c>
      <c r="C10" s="59">
        <v>-2</v>
      </c>
      <c r="D10" s="111">
        <v>6</v>
      </c>
      <c r="E10" s="117"/>
      <c r="F10" s="118"/>
      <c r="G10" s="115"/>
      <c r="H10" s="70" t="s">
        <v>6</v>
      </c>
      <c r="I10" s="45">
        <v>750</v>
      </c>
      <c r="J10" s="46">
        <v>1380</v>
      </c>
      <c r="P10" s="1"/>
      <c r="Q10" s="1"/>
      <c r="R10" s="1"/>
      <c r="S10" s="1"/>
    </row>
    <row r="11" spans="1:18" ht="13.5" customHeight="1">
      <c r="A11" s="11"/>
      <c r="B11" s="2"/>
      <c r="C11" s="2"/>
      <c r="D11" s="112">
        <f>SUM(D7:D10)</f>
        <v>646.0620437956204</v>
      </c>
      <c r="E11" s="119">
        <f>SUM(E7:E9)</f>
        <v>4904.756826839209</v>
      </c>
      <c r="F11" s="120">
        <f>SUM(F7:F9)</f>
        <v>13627.361889325766</v>
      </c>
      <c r="G11" s="112"/>
      <c r="H11" s="42">
        <f>I11+J11</f>
        <v>8822472</v>
      </c>
      <c r="I11" s="13">
        <f>SUM(I9:I10)</f>
        <v>4410771</v>
      </c>
      <c r="J11" s="13">
        <f>SUM(J9:J10)</f>
        <v>4411701</v>
      </c>
      <c r="P11" s="1"/>
      <c r="R11" s="24"/>
    </row>
    <row r="12" spans="1:14" ht="23.25" customHeight="1" thickBot="1">
      <c r="A12" s="91"/>
      <c r="F12" s="73">
        <f>+F32-G32</f>
        <v>571</v>
      </c>
      <c r="G12" s="7"/>
      <c r="I12" s="94"/>
      <c r="J12" s="34"/>
      <c r="M12" s="40"/>
      <c r="N12" s="62"/>
    </row>
    <row r="13" spans="1:14" ht="13.5" customHeight="1" thickBot="1">
      <c r="A13" s="92"/>
      <c r="C13" s="1"/>
      <c r="D13" s="1"/>
      <c r="E13" s="13"/>
      <c r="F13" s="74" t="s">
        <v>35</v>
      </c>
      <c r="G13" s="47"/>
      <c r="H13" s="7"/>
      <c r="I13" s="7"/>
      <c r="J13" s="7"/>
      <c r="K13" s="95" t="s">
        <v>50</v>
      </c>
      <c r="L13" s="96" t="s">
        <v>20</v>
      </c>
      <c r="M13" s="2"/>
      <c r="N13" s="62"/>
    </row>
    <row r="14" spans="1:14" ht="13.5" customHeight="1">
      <c r="A14" s="93"/>
      <c r="B14" s="6"/>
      <c r="C14" s="58"/>
      <c r="D14" s="75" t="s">
        <v>3</v>
      </c>
      <c r="E14" s="75" t="s">
        <v>12</v>
      </c>
      <c r="F14" s="76" t="s">
        <v>8</v>
      </c>
      <c r="G14" s="77" t="s">
        <v>9</v>
      </c>
      <c r="H14" s="78" t="s">
        <v>26</v>
      </c>
      <c r="I14" s="75" t="s">
        <v>27</v>
      </c>
      <c r="J14" s="75" t="s">
        <v>28</v>
      </c>
      <c r="K14" s="79" t="s">
        <v>17</v>
      </c>
      <c r="L14" s="97" t="s">
        <v>23</v>
      </c>
      <c r="M14" s="2"/>
      <c r="N14" s="62"/>
    </row>
    <row r="15" spans="1:14" ht="13.5" customHeight="1">
      <c r="A15" s="13"/>
      <c r="B15" s="90" t="s">
        <v>0</v>
      </c>
      <c r="C15" s="56">
        <v>-4</v>
      </c>
      <c r="D15" s="141">
        <v>609</v>
      </c>
      <c r="E15" s="141">
        <v>609</v>
      </c>
      <c r="F15" s="143">
        <f>137+I15</f>
        <v>567</v>
      </c>
      <c r="G15" s="141">
        <f>0+J15</f>
        <v>0</v>
      </c>
      <c r="H15" s="144">
        <v>2422</v>
      </c>
      <c r="I15" s="141">
        <v>430</v>
      </c>
      <c r="J15" s="141">
        <v>0</v>
      </c>
      <c r="K15" s="149">
        <v>2422</v>
      </c>
      <c r="L15" s="148">
        <f>SUM(F15:G15)/K35</f>
        <v>35.4375</v>
      </c>
      <c r="M15" s="23"/>
      <c r="N15" s="62"/>
    </row>
    <row r="16" spans="1:14" ht="13.5" customHeight="1">
      <c r="A16" s="13"/>
      <c r="B16" s="12" t="s">
        <v>74</v>
      </c>
      <c r="C16" s="55">
        <v>-5</v>
      </c>
      <c r="D16" s="165">
        <v>637</v>
      </c>
      <c r="E16" s="165">
        <v>548</v>
      </c>
      <c r="F16" s="166">
        <f>0+I16</f>
        <v>142</v>
      </c>
      <c r="G16" s="167">
        <f>0+J16</f>
        <v>0</v>
      </c>
      <c r="H16" s="166">
        <f>K16-1800</f>
        <v>12700</v>
      </c>
      <c r="I16" s="165">
        <v>142</v>
      </c>
      <c r="J16" s="165">
        <v>0</v>
      </c>
      <c r="K16" s="168">
        <v>14500</v>
      </c>
      <c r="L16" s="169">
        <f>SUM(F16:G16)/K36</f>
        <v>15.777777777777779</v>
      </c>
      <c r="M16" s="23"/>
      <c r="N16" s="62"/>
    </row>
    <row r="17" spans="1:14" ht="13.5" customHeight="1">
      <c r="A17" s="66"/>
      <c r="B17" s="69" t="s">
        <v>37</v>
      </c>
      <c r="C17" s="56">
        <v>-1</v>
      </c>
      <c r="D17" s="145">
        <v>47</v>
      </c>
      <c r="E17" s="145">
        <v>47</v>
      </c>
      <c r="F17" s="150">
        <f aca="true" t="shared" si="0" ref="F17:F28">0+I17</f>
        <v>5</v>
      </c>
      <c r="G17" s="146">
        <f aca="true" t="shared" si="1" ref="G17:G31">0+J17</f>
        <v>7</v>
      </c>
      <c r="H17" s="150">
        <v>12</v>
      </c>
      <c r="I17" s="145">
        <v>5</v>
      </c>
      <c r="J17" s="145">
        <v>7</v>
      </c>
      <c r="K17" s="151">
        <v>12</v>
      </c>
      <c r="L17" s="152">
        <f>SUM(F17:G17)/K37</f>
        <v>0.6</v>
      </c>
      <c r="M17" s="23"/>
      <c r="N17" s="62"/>
    </row>
    <row r="18" spans="1:14" ht="13.5" customHeight="1">
      <c r="A18" s="66"/>
      <c r="B18" s="69" t="s">
        <v>38</v>
      </c>
      <c r="C18" s="56">
        <v>-1</v>
      </c>
      <c r="D18" s="145">
        <v>177</v>
      </c>
      <c r="E18" s="145">
        <v>177</v>
      </c>
      <c r="F18" s="150">
        <f t="shared" si="0"/>
        <v>6</v>
      </c>
      <c r="G18" s="146">
        <f t="shared" si="1"/>
        <v>14</v>
      </c>
      <c r="H18" s="150">
        <v>20</v>
      </c>
      <c r="I18" s="145">
        <v>6</v>
      </c>
      <c r="J18" s="145">
        <v>14</v>
      </c>
      <c r="K18" s="151">
        <v>20</v>
      </c>
      <c r="L18" s="152">
        <f>SUM(F18:G18)/K38</f>
        <v>0.5405405405405406</v>
      </c>
      <c r="M18" s="23"/>
      <c r="N18" s="62"/>
    </row>
    <row r="19" spans="1:14" ht="13.5" customHeight="1">
      <c r="A19" s="66"/>
      <c r="B19" s="80" t="s">
        <v>33</v>
      </c>
      <c r="C19" s="56">
        <v>-1</v>
      </c>
      <c r="D19" s="145">
        <v>51</v>
      </c>
      <c r="E19" s="145">
        <v>51</v>
      </c>
      <c r="F19" s="150">
        <f t="shared" si="0"/>
        <v>1</v>
      </c>
      <c r="G19" s="146">
        <f t="shared" si="1"/>
        <v>13</v>
      </c>
      <c r="H19" s="150">
        <v>14</v>
      </c>
      <c r="I19" s="145">
        <v>1</v>
      </c>
      <c r="J19" s="145">
        <v>13</v>
      </c>
      <c r="K19" s="151">
        <v>17</v>
      </c>
      <c r="L19" s="152">
        <f>SUM(F19:G19)/K39</f>
        <v>0.11764705882352941</v>
      </c>
      <c r="M19" s="23"/>
      <c r="N19" s="62"/>
    </row>
    <row r="20" spans="1:14" ht="13.5" customHeight="1">
      <c r="A20" s="66"/>
      <c r="B20" s="80" t="s">
        <v>58</v>
      </c>
      <c r="C20" s="56">
        <v>-1</v>
      </c>
      <c r="D20" s="145">
        <v>35</v>
      </c>
      <c r="E20" s="145">
        <v>35</v>
      </c>
      <c r="F20" s="150">
        <f>0+I20</f>
        <v>0</v>
      </c>
      <c r="G20" s="146">
        <f>0+J20</f>
        <v>1</v>
      </c>
      <c r="H20" s="150">
        <v>1</v>
      </c>
      <c r="I20" s="145">
        <v>0</v>
      </c>
      <c r="J20" s="145">
        <v>1</v>
      </c>
      <c r="K20" s="151">
        <v>1</v>
      </c>
      <c r="L20" s="152">
        <f>SUM(F20:G20)/K41</f>
        <v>0.5</v>
      </c>
      <c r="M20" s="23"/>
      <c r="N20" s="62"/>
    </row>
    <row r="21" spans="1:14" ht="13.5" customHeight="1">
      <c r="A21" s="66"/>
      <c r="B21" s="69" t="s">
        <v>41</v>
      </c>
      <c r="C21" s="56">
        <v>-1</v>
      </c>
      <c r="D21" s="145">
        <v>96</v>
      </c>
      <c r="E21" s="145">
        <v>96</v>
      </c>
      <c r="F21" s="150">
        <f>0+I21</f>
        <v>7</v>
      </c>
      <c r="G21" s="146">
        <f>0+J21</f>
        <v>8</v>
      </c>
      <c r="H21" s="150">
        <v>17</v>
      </c>
      <c r="I21" s="145">
        <v>7</v>
      </c>
      <c r="J21" s="145">
        <v>8</v>
      </c>
      <c r="K21" s="151">
        <v>43</v>
      </c>
      <c r="L21" s="152">
        <f>SUM(F21:G21)/K41</f>
        <v>7.5</v>
      </c>
      <c r="M21" s="23"/>
      <c r="N21" s="62"/>
    </row>
    <row r="22" spans="1:14" ht="13.5" customHeight="1">
      <c r="A22" s="66"/>
      <c r="B22" s="80" t="s">
        <v>40</v>
      </c>
      <c r="C22" s="56">
        <v>-1</v>
      </c>
      <c r="D22" s="145">
        <v>268</v>
      </c>
      <c r="E22" s="145">
        <v>268</v>
      </c>
      <c r="F22" s="150">
        <f t="shared" si="0"/>
        <v>24</v>
      </c>
      <c r="G22" s="146">
        <f t="shared" si="1"/>
        <v>44</v>
      </c>
      <c r="H22" s="150">
        <v>68</v>
      </c>
      <c r="I22" s="145">
        <v>24</v>
      </c>
      <c r="J22" s="145">
        <v>44</v>
      </c>
      <c r="K22" s="151">
        <v>81</v>
      </c>
      <c r="L22" s="152">
        <f>SUM(F22:G22)/K42</f>
        <v>0.40718562874251496</v>
      </c>
      <c r="M22" s="23"/>
      <c r="N22" s="62"/>
    </row>
    <row r="23" spans="1:14" ht="13.5" customHeight="1">
      <c r="A23" s="66"/>
      <c r="B23" s="69" t="s">
        <v>42</v>
      </c>
      <c r="C23" s="56">
        <v>-1</v>
      </c>
      <c r="D23" s="145">
        <v>108</v>
      </c>
      <c r="E23" s="145">
        <v>108</v>
      </c>
      <c r="F23" s="150">
        <f>0+I23</f>
        <v>0</v>
      </c>
      <c r="G23" s="146">
        <f>0+J23</f>
        <v>36</v>
      </c>
      <c r="H23" s="150">
        <v>36</v>
      </c>
      <c r="I23" s="145">
        <v>0</v>
      </c>
      <c r="J23" s="145">
        <v>36</v>
      </c>
      <c r="K23" s="151">
        <v>54</v>
      </c>
      <c r="L23" s="152">
        <f>SUM(F23:G23)/K43</f>
        <v>0.5070422535211268</v>
      </c>
      <c r="M23" s="23"/>
      <c r="N23" s="62"/>
    </row>
    <row r="24" spans="1:14" ht="13.5" customHeight="1">
      <c r="A24" s="66"/>
      <c r="B24" s="80" t="s">
        <v>36</v>
      </c>
      <c r="C24" s="56">
        <v>-1</v>
      </c>
      <c r="D24" s="145">
        <v>95</v>
      </c>
      <c r="E24" s="145">
        <v>95</v>
      </c>
      <c r="F24" s="150">
        <f t="shared" si="0"/>
        <v>0</v>
      </c>
      <c r="G24" s="146">
        <f t="shared" si="1"/>
        <v>0</v>
      </c>
      <c r="H24" s="150">
        <v>0</v>
      </c>
      <c r="I24" s="145">
        <v>0</v>
      </c>
      <c r="J24" s="145">
        <v>0</v>
      </c>
      <c r="K24" s="151">
        <v>0</v>
      </c>
      <c r="L24" s="152">
        <f>SUM(F24:G24)/K44</f>
        <v>0</v>
      </c>
      <c r="M24" s="23"/>
      <c r="N24" s="62"/>
    </row>
    <row r="25" spans="1:14" ht="13.5" customHeight="1">
      <c r="A25" s="66"/>
      <c r="B25" s="80" t="s">
        <v>39</v>
      </c>
      <c r="C25" s="56">
        <v>-1</v>
      </c>
      <c r="D25" s="145">
        <v>48</v>
      </c>
      <c r="E25" s="145">
        <v>48</v>
      </c>
      <c r="F25" s="150">
        <f t="shared" si="0"/>
        <v>0</v>
      </c>
      <c r="G25" s="146">
        <f t="shared" si="1"/>
        <v>1</v>
      </c>
      <c r="H25" s="150">
        <v>2</v>
      </c>
      <c r="I25" s="145">
        <v>0</v>
      </c>
      <c r="J25" s="145">
        <v>1</v>
      </c>
      <c r="K25" s="151">
        <v>2</v>
      </c>
      <c r="L25" s="152">
        <f>SUM(F25:G25)/K45</f>
        <v>0.0196078431372549</v>
      </c>
      <c r="M25" s="23"/>
      <c r="N25" s="62"/>
    </row>
    <row r="26" spans="1:14" ht="13.5" customHeight="1">
      <c r="A26" s="66"/>
      <c r="B26" s="80" t="s">
        <v>57</v>
      </c>
      <c r="C26" s="56">
        <v>-1</v>
      </c>
      <c r="D26" s="145">
        <v>163</v>
      </c>
      <c r="E26" s="145">
        <v>163</v>
      </c>
      <c r="F26" s="150">
        <f>0+I26</f>
        <v>0</v>
      </c>
      <c r="G26" s="146">
        <f>0+J26</f>
        <v>1</v>
      </c>
      <c r="H26" s="150">
        <v>2</v>
      </c>
      <c r="I26" s="145">
        <v>0</v>
      </c>
      <c r="J26" s="145">
        <v>1</v>
      </c>
      <c r="K26" s="151">
        <v>1</v>
      </c>
      <c r="L26" s="152">
        <f>SUM(F26:G26)/K47</f>
        <v>0.045454545454545456</v>
      </c>
      <c r="M26" s="23"/>
      <c r="N26" s="62"/>
    </row>
    <row r="27" spans="1:14" ht="13.5" customHeight="1">
      <c r="A27" s="66"/>
      <c r="B27" s="80" t="s">
        <v>56</v>
      </c>
      <c r="C27" s="56">
        <v>-1</v>
      </c>
      <c r="D27" s="145">
        <v>135</v>
      </c>
      <c r="E27" s="145">
        <v>135</v>
      </c>
      <c r="F27" s="150">
        <f>0+I27</f>
        <v>0</v>
      </c>
      <c r="G27" s="146">
        <f>0+J27</f>
        <v>4</v>
      </c>
      <c r="H27" s="150">
        <v>29</v>
      </c>
      <c r="I27" s="145">
        <v>0</v>
      </c>
      <c r="J27" s="145">
        <v>4</v>
      </c>
      <c r="K27" s="151">
        <v>29</v>
      </c>
      <c r="L27" s="152">
        <f>SUM(F27:G27)/K47</f>
        <v>0.18181818181818182</v>
      </c>
      <c r="M27" s="23"/>
      <c r="N27" s="62"/>
    </row>
    <row r="28" spans="1:14" ht="13.5" customHeight="1">
      <c r="A28" s="66"/>
      <c r="B28" s="80" t="s">
        <v>55</v>
      </c>
      <c r="C28" s="56">
        <v>-1</v>
      </c>
      <c r="D28" s="145">
        <v>48</v>
      </c>
      <c r="E28" s="145">
        <v>48</v>
      </c>
      <c r="F28" s="150">
        <f t="shared" si="0"/>
        <v>0</v>
      </c>
      <c r="G28" s="146">
        <f t="shared" si="1"/>
        <v>6</v>
      </c>
      <c r="H28" s="150">
        <v>6</v>
      </c>
      <c r="I28" s="145">
        <v>0</v>
      </c>
      <c r="J28" s="145">
        <v>6</v>
      </c>
      <c r="K28" s="151">
        <v>19</v>
      </c>
      <c r="L28" s="152">
        <f>SUM(F28:G28)/K48</f>
        <v>0.46153846153846156</v>
      </c>
      <c r="M28" s="23"/>
      <c r="N28" s="62"/>
    </row>
    <row r="29" spans="1:14" ht="13.5" customHeight="1">
      <c r="A29" s="66"/>
      <c r="B29" s="80" t="s">
        <v>43</v>
      </c>
      <c r="C29" s="56">
        <v>-1</v>
      </c>
      <c r="D29" s="145">
        <v>36</v>
      </c>
      <c r="E29" s="145">
        <v>36</v>
      </c>
      <c r="F29" s="150">
        <f>0+I29</f>
        <v>0</v>
      </c>
      <c r="G29" s="146">
        <f>0+J29</f>
        <v>0</v>
      </c>
      <c r="H29" s="150">
        <v>0</v>
      </c>
      <c r="I29" s="145">
        <v>0</v>
      </c>
      <c r="J29" s="145">
        <v>0</v>
      </c>
      <c r="K29" s="151">
        <v>0</v>
      </c>
      <c r="L29" s="152">
        <f>SUM(F29:G29)/K49</f>
        <v>0</v>
      </c>
      <c r="M29" s="23"/>
      <c r="N29" s="62"/>
    </row>
    <row r="30" spans="1:14" ht="13.5" customHeight="1">
      <c r="A30" s="66"/>
      <c r="B30" s="69" t="s">
        <v>34</v>
      </c>
      <c r="C30" s="56">
        <v>-3</v>
      </c>
      <c r="D30" s="145">
        <v>21</v>
      </c>
      <c r="E30" s="145">
        <v>21</v>
      </c>
      <c r="F30" s="150">
        <f>0+I30</f>
        <v>74</v>
      </c>
      <c r="G30" s="146">
        <f>0+J30</f>
        <v>126</v>
      </c>
      <c r="H30" s="150">
        <v>200</v>
      </c>
      <c r="I30" s="145">
        <v>74</v>
      </c>
      <c r="J30" s="145">
        <v>126</v>
      </c>
      <c r="K30" s="151">
        <v>200</v>
      </c>
      <c r="L30" s="152">
        <f>SUM(F30:G30)/K44</f>
        <v>33.333333333333336</v>
      </c>
      <c r="M30" s="23"/>
      <c r="N30" s="62"/>
    </row>
    <row r="31" spans="1:14" ht="13.5" customHeight="1" thickBot="1">
      <c r="A31" s="66"/>
      <c r="B31" s="72" t="s">
        <v>72</v>
      </c>
      <c r="C31" s="57">
        <v>-2</v>
      </c>
      <c r="D31" s="48">
        <v>614</v>
      </c>
      <c r="E31" s="48">
        <v>135</v>
      </c>
      <c r="F31" s="49">
        <f>151+I31</f>
        <v>157</v>
      </c>
      <c r="G31" s="50">
        <f t="shared" si="1"/>
        <v>0</v>
      </c>
      <c r="H31" s="49">
        <v>0</v>
      </c>
      <c r="I31" s="142">
        <v>6</v>
      </c>
      <c r="J31" s="48">
        <v>0</v>
      </c>
      <c r="K31" s="51">
        <v>10750</v>
      </c>
      <c r="L31" s="164">
        <f>SUM(F31:G31)/K51</f>
        <v>8.722222222222221</v>
      </c>
      <c r="M31" s="33"/>
      <c r="N31" s="62"/>
    </row>
    <row r="32" spans="5:18" ht="13.5" customHeight="1">
      <c r="E32" s="153">
        <f>SUM(E15:E16)/SUM(D15:D16)</f>
        <v>0.9285714285714286</v>
      </c>
      <c r="F32" s="147">
        <f>SUM(F15:F30)+I31</f>
        <v>832</v>
      </c>
      <c r="G32" s="154">
        <f>SUM(G15:G30)</f>
        <v>261</v>
      </c>
      <c r="H32" s="153">
        <f>SUM(H15:H30)/SUM(K15:K30)</f>
        <v>0.8924199758634561</v>
      </c>
      <c r="I32" s="147">
        <f>SUM(I15:I31)</f>
        <v>695</v>
      </c>
      <c r="J32" s="147">
        <f>SUM(J15:J31)</f>
        <v>261</v>
      </c>
      <c r="K32" s="147">
        <f>SUM(K15:K30)</f>
        <v>17401</v>
      </c>
      <c r="L32" s="28"/>
      <c r="N32" s="62"/>
      <c r="P32" s="29"/>
      <c r="R32" s="7"/>
    </row>
    <row r="33" spans="6:18" ht="23.25" customHeight="1" thickBot="1">
      <c r="F33" s="36"/>
      <c r="I33" s="13"/>
      <c r="J33" s="100" t="s">
        <v>24</v>
      </c>
      <c r="K33" s="96" t="s">
        <v>21</v>
      </c>
      <c r="R33" s="7"/>
    </row>
    <row r="34" spans="2:18" ht="13.5" customHeight="1">
      <c r="B34" s="6"/>
      <c r="C34" s="58"/>
      <c r="D34" s="81" t="s">
        <v>5</v>
      </c>
      <c r="E34" s="81" t="s">
        <v>10</v>
      </c>
      <c r="F34" s="81" t="s">
        <v>4</v>
      </c>
      <c r="G34" s="53" t="s">
        <v>1</v>
      </c>
      <c r="H34" s="82" t="s">
        <v>7</v>
      </c>
      <c r="I34" s="53" t="s">
        <v>2</v>
      </c>
      <c r="J34" s="83" t="s">
        <v>7</v>
      </c>
      <c r="K34" s="99" t="s">
        <v>22</v>
      </c>
      <c r="R34" s="7"/>
    </row>
    <row r="35" spans="2:18" ht="13.5" customHeight="1">
      <c r="B35" s="12"/>
      <c r="C35" s="55" t="s">
        <v>46</v>
      </c>
      <c r="D35" s="126">
        <f aca="true" t="shared" si="2" ref="D35:D51">+I35+G35</f>
        <v>563974</v>
      </c>
      <c r="E35" s="108">
        <f aca="true" t="shared" si="3" ref="E35:E51">(G35-I35)/(G35+I35)</f>
        <v>0.3710348349391993</v>
      </c>
      <c r="F35" s="126">
        <v>14611</v>
      </c>
      <c r="G35" s="127">
        <v>386614</v>
      </c>
      <c r="H35" s="128">
        <v>-53</v>
      </c>
      <c r="I35" s="127">
        <v>177360</v>
      </c>
      <c r="J35" s="129">
        <v>-37</v>
      </c>
      <c r="K35" s="140">
        <f aca="true" t="shared" si="4" ref="K35:K51">ABS(J35-H35)</f>
        <v>16</v>
      </c>
      <c r="R35" s="22"/>
    </row>
    <row r="36" spans="2:18" ht="13.5" customHeight="1">
      <c r="B36" s="12"/>
      <c r="C36" s="55" t="s">
        <v>47</v>
      </c>
      <c r="D36" s="126">
        <f t="shared" si="2"/>
        <v>422718</v>
      </c>
      <c r="E36" s="108">
        <f t="shared" si="3"/>
        <v>0.27628347976665296</v>
      </c>
      <c r="F36" s="126">
        <v>29702</v>
      </c>
      <c r="G36" s="127">
        <v>269754</v>
      </c>
      <c r="H36" s="128">
        <v>-22</v>
      </c>
      <c r="I36" s="127">
        <v>152964</v>
      </c>
      <c r="J36" s="129">
        <v>-13</v>
      </c>
      <c r="K36" s="140">
        <f t="shared" si="4"/>
        <v>9</v>
      </c>
      <c r="R36" s="22"/>
    </row>
    <row r="37" spans="2:18" ht="13.5" customHeight="1">
      <c r="B37" s="69"/>
      <c r="C37" s="162" t="s">
        <v>59</v>
      </c>
      <c r="D37" s="134">
        <f t="shared" si="2"/>
        <v>57543</v>
      </c>
      <c r="E37" s="107">
        <f t="shared" si="3"/>
        <v>-0.3442121543888918</v>
      </c>
      <c r="F37" s="134" t="s">
        <v>30</v>
      </c>
      <c r="G37" s="135">
        <v>18868</v>
      </c>
      <c r="H37" s="136">
        <v>-18</v>
      </c>
      <c r="I37" s="135">
        <v>38675</v>
      </c>
      <c r="J37" s="137">
        <v>-38</v>
      </c>
      <c r="K37" s="138">
        <f t="shared" si="4"/>
        <v>20</v>
      </c>
      <c r="R37" s="22"/>
    </row>
    <row r="38" spans="2:18" ht="13.5" customHeight="1">
      <c r="B38" s="69"/>
      <c r="C38" s="162" t="s">
        <v>60</v>
      </c>
      <c r="D38" s="134">
        <f t="shared" si="2"/>
        <v>212574</v>
      </c>
      <c r="E38" s="107">
        <f t="shared" si="3"/>
        <v>-0.08422478760337576</v>
      </c>
      <c r="F38" s="134" t="s">
        <v>30</v>
      </c>
      <c r="G38" s="135">
        <v>97335</v>
      </c>
      <c r="H38" s="136">
        <v>-17</v>
      </c>
      <c r="I38" s="135">
        <v>115239</v>
      </c>
      <c r="J38" s="137">
        <v>-54</v>
      </c>
      <c r="K38" s="138">
        <f t="shared" si="4"/>
        <v>37</v>
      </c>
      <c r="R38" s="22"/>
    </row>
    <row r="39" spans="2:18" ht="13.5" customHeight="1">
      <c r="B39" s="80"/>
      <c r="C39" s="163" t="s">
        <v>61</v>
      </c>
      <c r="D39" s="134">
        <f t="shared" si="2"/>
        <v>56557</v>
      </c>
      <c r="E39" s="107">
        <f t="shared" si="3"/>
        <v>-0.48133741181462947</v>
      </c>
      <c r="F39" s="134" t="s">
        <v>30</v>
      </c>
      <c r="G39" s="135">
        <v>14667</v>
      </c>
      <c r="H39" s="136">
        <v>-35</v>
      </c>
      <c r="I39" s="135">
        <v>41890</v>
      </c>
      <c r="J39" s="137">
        <v>-154</v>
      </c>
      <c r="K39" s="138">
        <f t="shared" si="4"/>
        <v>119</v>
      </c>
      <c r="R39" s="22"/>
    </row>
    <row r="40" spans="2:18" ht="13.5" customHeight="1">
      <c r="B40" s="80"/>
      <c r="C40" s="163" t="s">
        <v>62</v>
      </c>
      <c r="D40" s="134">
        <f>+I40+G40</f>
        <v>55332</v>
      </c>
      <c r="E40" s="107">
        <f>(G40-I40)/(G40+I40)</f>
        <v>-0.07717053422974048</v>
      </c>
      <c r="F40" s="134" t="s">
        <v>30</v>
      </c>
      <c r="G40" s="135">
        <v>25531</v>
      </c>
      <c r="H40" s="136">
        <v>-6</v>
      </c>
      <c r="I40" s="135">
        <v>29801</v>
      </c>
      <c r="J40" s="137">
        <v>-35</v>
      </c>
      <c r="K40" s="138">
        <f t="shared" si="4"/>
        <v>29</v>
      </c>
      <c r="R40" s="22"/>
    </row>
    <row r="41" spans="2:18" ht="13.5" customHeight="1">
      <c r="B41" s="69"/>
      <c r="C41" s="162" t="s">
        <v>63</v>
      </c>
      <c r="D41" s="134">
        <f t="shared" si="2"/>
        <v>90371</v>
      </c>
      <c r="E41" s="107">
        <f t="shared" si="3"/>
        <v>-0.3376415000387292</v>
      </c>
      <c r="F41" s="134" t="s">
        <v>30</v>
      </c>
      <c r="G41" s="135">
        <v>29929</v>
      </c>
      <c r="H41" s="136">
        <v>-11</v>
      </c>
      <c r="I41" s="135">
        <v>60442</v>
      </c>
      <c r="J41" s="137">
        <v>-9</v>
      </c>
      <c r="K41" s="138">
        <f t="shared" si="4"/>
        <v>2</v>
      </c>
      <c r="R41" s="22"/>
    </row>
    <row r="42" spans="2:18" ht="13.5" customHeight="1">
      <c r="B42" s="80"/>
      <c r="C42" s="163" t="s">
        <v>64</v>
      </c>
      <c r="D42" s="134">
        <f t="shared" si="2"/>
        <v>260431</v>
      </c>
      <c r="E42" s="107">
        <f t="shared" si="3"/>
        <v>-0.17049045620529046</v>
      </c>
      <c r="F42" s="134" t="s">
        <v>30</v>
      </c>
      <c r="G42" s="135">
        <v>108015</v>
      </c>
      <c r="H42" s="136">
        <v>-151</v>
      </c>
      <c r="I42" s="135">
        <v>152416</v>
      </c>
      <c r="J42" s="137">
        <v>-318</v>
      </c>
      <c r="K42" s="138">
        <f t="shared" si="4"/>
        <v>167</v>
      </c>
      <c r="R42" s="22"/>
    </row>
    <row r="43" spans="2:18" ht="13.5" customHeight="1">
      <c r="B43" s="69"/>
      <c r="C43" s="162" t="s">
        <v>65</v>
      </c>
      <c r="D43" s="134">
        <f t="shared" si="2"/>
        <v>114107</v>
      </c>
      <c r="E43" s="107">
        <f t="shared" si="3"/>
        <v>-0.281709272875459</v>
      </c>
      <c r="F43" s="134" t="s">
        <v>30</v>
      </c>
      <c r="G43" s="135">
        <v>40981</v>
      </c>
      <c r="H43" s="136">
        <v>-38</v>
      </c>
      <c r="I43" s="135">
        <v>73126</v>
      </c>
      <c r="J43" s="137">
        <v>-109</v>
      </c>
      <c r="K43" s="138">
        <f t="shared" si="4"/>
        <v>71</v>
      </c>
      <c r="R43" s="22"/>
    </row>
    <row r="44" spans="2:18" ht="13.5" customHeight="1">
      <c r="B44" s="80"/>
      <c r="C44" s="163" t="s">
        <v>66</v>
      </c>
      <c r="D44" s="126">
        <f t="shared" si="2"/>
        <v>100517</v>
      </c>
      <c r="E44" s="108">
        <f t="shared" si="3"/>
        <v>0.22255936806709312</v>
      </c>
      <c r="F44" s="126" t="s">
        <v>30</v>
      </c>
      <c r="G44" s="127">
        <v>61444</v>
      </c>
      <c r="H44" s="128">
        <v>-17</v>
      </c>
      <c r="I44" s="127">
        <v>39073</v>
      </c>
      <c r="J44" s="129">
        <v>-11</v>
      </c>
      <c r="K44" s="140">
        <f t="shared" si="4"/>
        <v>6</v>
      </c>
      <c r="R44" s="22"/>
    </row>
    <row r="45" spans="2:18" ht="13.5" customHeight="1">
      <c r="B45" s="80"/>
      <c r="C45" s="163" t="s">
        <v>67</v>
      </c>
      <c r="D45" s="134">
        <f t="shared" si="2"/>
        <v>69172</v>
      </c>
      <c r="E45" s="107">
        <f t="shared" si="3"/>
        <v>-0.508818597120222</v>
      </c>
      <c r="F45" s="134" t="s">
        <v>30</v>
      </c>
      <c r="G45" s="135">
        <v>16988</v>
      </c>
      <c r="H45" s="136">
        <v>-40</v>
      </c>
      <c r="I45" s="135">
        <v>52184</v>
      </c>
      <c r="J45" s="137">
        <v>-91</v>
      </c>
      <c r="K45" s="138">
        <f t="shared" si="4"/>
        <v>51</v>
      </c>
      <c r="R45" s="22"/>
    </row>
    <row r="46" spans="2:18" ht="13.5" customHeight="1">
      <c r="B46" s="80"/>
      <c r="C46" s="163" t="s">
        <v>68</v>
      </c>
      <c r="D46" s="134">
        <f>+I46+G46</f>
        <v>165517</v>
      </c>
      <c r="E46" s="107">
        <f>(G46-I46)/(G46+I46)</f>
        <v>-0.09124742473582774</v>
      </c>
      <c r="F46" s="134" t="s">
        <v>30</v>
      </c>
      <c r="G46" s="135">
        <v>75207</v>
      </c>
      <c r="H46" s="136">
        <v>-7</v>
      </c>
      <c r="I46" s="135">
        <v>90310</v>
      </c>
      <c r="J46" s="137">
        <v>-15</v>
      </c>
      <c r="K46" s="138">
        <f t="shared" si="4"/>
        <v>8</v>
      </c>
      <c r="R46" s="22"/>
    </row>
    <row r="47" spans="2:18" ht="13.5" customHeight="1">
      <c r="B47" s="80"/>
      <c r="C47" s="163" t="s">
        <v>69</v>
      </c>
      <c r="D47" s="126">
        <f t="shared" si="2"/>
        <v>107249</v>
      </c>
      <c r="E47" s="108">
        <f t="shared" si="3"/>
        <v>0.0820240748165484</v>
      </c>
      <c r="F47" s="126" t="s">
        <v>30</v>
      </c>
      <c r="G47" s="127">
        <v>58023</v>
      </c>
      <c r="H47" s="128">
        <v>-71</v>
      </c>
      <c r="I47" s="127">
        <v>49226</v>
      </c>
      <c r="J47" s="129">
        <v>-49</v>
      </c>
      <c r="K47" s="140">
        <f t="shared" si="4"/>
        <v>22</v>
      </c>
      <c r="R47" s="22"/>
    </row>
    <row r="48" spans="2:18" ht="13.5" customHeight="1">
      <c r="B48" s="80"/>
      <c r="C48" s="163" t="s">
        <v>70</v>
      </c>
      <c r="D48" s="134">
        <f t="shared" si="2"/>
        <v>138183</v>
      </c>
      <c r="E48" s="107">
        <f>(G48-I48)/(G48+I48)</f>
        <v>-0.0070124400251839955</v>
      </c>
      <c r="F48" s="134" t="s">
        <v>30</v>
      </c>
      <c r="G48" s="135">
        <v>68607</v>
      </c>
      <c r="H48" s="136">
        <v>-25</v>
      </c>
      <c r="I48" s="135">
        <v>69576</v>
      </c>
      <c r="J48" s="137">
        <v>-12</v>
      </c>
      <c r="K48" s="138">
        <f t="shared" si="4"/>
        <v>13</v>
      </c>
      <c r="R48" s="22"/>
    </row>
    <row r="49" spans="2:18" ht="13.5" customHeight="1">
      <c r="B49" s="80"/>
      <c r="C49" s="163" t="s">
        <v>71</v>
      </c>
      <c r="D49" s="134">
        <f t="shared" si="2"/>
        <v>49120</v>
      </c>
      <c r="E49" s="107">
        <f t="shared" si="3"/>
        <v>-0.4784201954397394</v>
      </c>
      <c r="F49" s="134" t="s">
        <v>30</v>
      </c>
      <c r="G49" s="135">
        <v>12810</v>
      </c>
      <c r="H49" s="136">
        <v>-8</v>
      </c>
      <c r="I49" s="135">
        <v>36310</v>
      </c>
      <c r="J49" s="137">
        <v>-36</v>
      </c>
      <c r="K49" s="138">
        <f t="shared" si="4"/>
        <v>28</v>
      </c>
      <c r="R49" s="22"/>
    </row>
    <row r="50" spans="2:18" ht="13.5" customHeight="1">
      <c r="B50" s="69" t="s">
        <v>34</v>
      </c>
      <c r="C50" s="56">
        <v>-3</v>
      </c>
      <c r="D50" s="134">
        <f t="shared" si="2"/>
        <v>23159</v>
      </c>
      <c r="E50" s="107">
        <f t="shared" si="3"/>
        <v>-0.4059328986571095</v>
      </c>
      <c r="F50" s="134" t="s">
        <v>30</v>
      </c>
      <c r="G50" s="139">
        <f>6882+H50</f>
        <v>6879</v>
      </c>
      <c r="H50" s="159">
        <v>-3</v>
      </c>
      <c r="I50" s="139">
        <f>16283+J50</f>
        <v>16280</v>
      </c>
      <c r="J50" s="160">
        <v>-3</v>
      </c>
      <c r="K50" s="138">
        <f t="shared" si="4"/>
        <v>0</v>
      </c>
      <c r="R50" s="22"/>
    </row>
    <row r="51" spans="2:18" ht="13.5" customHeight="1" thickBot="1">
      <c r="B51" s="70"/>
      <c r="C51" s="161" t="s">
        <v>73</v>
      </c>
      <c r="D51" s="130">
        <f t="shared" si="2"/>
        <v>618435</v>
      </c>
      <c r="E51" s="109">
        <f t="shared" si="3"/>
        <v>0.06352648216870002</v>
      </c>
      <c r="F51" s="130">
        <v>28601</v>
      </c>
      <c r="G51" s="131">
        <v>328861</v>
      </c>
      <c r="H51" s="132">
        <v>-59</v>
      </c>
      <c r="I51" s="131">
        <v>289574</v>
      </c>
      <c r="J51" s="133">
        <v>-41</v>
      </c>
      <c r="K51" s="140">
        <f t="shared" si="4"/>
        <v>18</v>
      </c>
      <c r="R51" s="22"/>
    </row>
    <row r="52" spans="1:13" ht="13.5" customHeight="1">
      <c r="A52" s="67"/>
      <c r="B52" s="52"/>
      <c r="C52" s="52"/>
      <c r="D52" s="155">
        <f>SUM(D35:D51)</f>
        <v>3104959</v>
      </c>
      <c r="E52" s="156">
        <f>AVERAGE(E35:E51)</f>
        <v>-0.1325170254927062</v>
      </c>
      <c r="F52" s="157">
        <f>SUM(F35:F51)</f>
        <v>72914</v>
      </c>
      <c r="G52" s="157">
        <f>SUM(G35:G51)</f>
        <v>1620513</v>
      </c>
      <c r="H52" s="158">
        <f>SUM(H35:H51)</f>
        <v>-581</v>
      </c>
      <c r="I52" s="157">
        <f>SUM(I35:I51)</f>
        <v>1484446</v>
      </c>
      <c r="J52" s="158">
        <f>SUM(J35:J51)</f>
        <v>-1025</v>
      </c>
      <c r="M52" s="2"/>
    </row>
    <row r="53" spans="1:15" ht="13.5" customHeight="1">
      <c r="A53" s="67"/>
      <c r="B53" s="52"/>
      <c r="C53" s="52"/>
      <c r="D53" s="84">
        <f>D52/SUM(I9:J10)</f>
        <v>0.35193752952687185</v>
      </c>
      <c r="E53" s="85" t="s">
        <v>19</v>
      </c>
      <c r="F53" s="21"/>
      <c r="H53" s="18"/>
      <c r="I53" s="18"/>
      <c r="J53" s="18"/>
      <c r="N53" s="62"/>
      <c r="O53" s="2"/>
    </row>
    <row r="54" spans="1:15" ht="13.5" customHeight="1">
      <c r="A54" s="67"/>
      <c r="B54" s="52"/>
      <c r="C54" s="52"/>
      <c r="D54" s="84"/>
      <c r="E54" s="21"/>
      <c r="F54" s="21"/>
      <c r="H54" s="18"/>
      <c r="I54" s="18"/>
      <c r="J54" s="18"/>
      <c r="N54" s="62"/>
      <c r="O54" s="2"/>
    </row>
    <row r="55" spans="1:15" ht="13.5" customHeight="1">
      <c r="A55" s="89">
        <v>-1</v>
      </c>
      <c r="B55" s="87" t="s">
        <v>44</v>
      </c>
      <c r="C55" s="35"/>
      <c r="D55" s="84"/>
      <c r="E55" s="21"/>
      <c r="F55" s="21"/>
      <c r="H55" s="18"/>
      <c r="I55" s="18"/>
      <c r="J55" s="18"/>
      <c r="N55" s="62"/>
      <c r="O55" s="2"/>
    </row>
    <row r="56" spans="1:15" ht="13.5" customHeight="1">
      <c r="A56" s="89">
        <v>-2</v>
      </c>
      <c r="B56" s="87" t="s">
        <v>49</v>
      </c>
      <c r="C56" s="35"/>
      <c r="D56" s="84"/>
      <c r="E56" s="21"/>
      <c r="F56" s="21"/>
      <c r="H56" s="18"/>
      <c r="I56" s="18"/>
      <c r="J56" s="18"/>
      <c r="N56" s="62"/>
      <c r="O56" s="2"/>
    </row>
    <row r="57" spans="1:3" ht="13.5" customHeight="1">
      <c r="A57" s="89">
        <v>-3</v>
      </c>
      <c r="B57" s="87" t="s">
        <v>45</v>
      </c>
      <c r="C57" s="35"/>
    </row>
    <row r="58" spans="1:2" ht="13.5" customHeight="1">
      <c r="A58" s="89">
        <v>-4</v>
      </c>
      <c r="B58" s="88" t="s">
        <v>48</v>
      </c>
    </row>
    <row r="59" spans="1:16" ht="13.5" customHeight="1">
      <c r="A59" s="89">
        <v>-5</v>
      </c>
      <c r="B59" s="88" t="s">
        <v>75</v>
      </c>
      <c r="J59" s="86" t="s">
        <v>31</v>
      </c>
      <c r="K59" s="43">
        <f ca="1">TODAY()</f>
        <v>36856</v>
      </c>
      <c r="L59" s="44">
        <f ca="1">NOW()</f>
        <v>36856.853172800926</v>
      </c>
      <c r="M59" s="1"/>
      <c r="N59" s="63"/>
      <c r="O59" s="1"/>
      <c r="P59" s="1"/>
    </row>
    <row r="60" spans="11:16" ht="13.5" customHeight="1">
      <c r="K60" s="1"/>
      <c r="L60" s="1"/>
      <c r="M60" s="1"/>
      <c r="N60" s="63"/>
      <c r="O60" s="1"/>
      <c r="P60" s="1"/>
    </row>
    <row r="61" spans="11:16" ht="13.5" customHeight="1">
      <c r="K61" s="1"/>
      <c r="L61" s="1"/>
      <c r="M61" s="1"/>
      <c r="N61" s="63"/>
      <c r="O61" s="1"/>
      <c r="P61" s="1"/>
    </row>
    <row r="62" spans="11:16" ht="13.5" customHeight="1">
      <c r="K62" s="1"/>
      <c r="L62" s="1"/>
      <c r="M62" s="1"/>
      <c r="N62" s="63"/>
      <c r="O62" s="1"/>
      <c r="P62" s="1"/>
    </row>
  </sheetData>
  <printOptions/>
  <pageMargins left="0.92" right="0.75" top="0.57" bottom="1" header="0.4" footer="0.5"/>
  <pageSetup fitToHeight="1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T.W.I.N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Sony Customer</dc:creator>
  <cp:keywords/>
  <dc:description/>
  <cp:lastModifiedBy>Valued Sony Customer</cp:lastModifiedBy>
  <cp:lastPrinted>2000-11-26T23:02:35Z</cp:lastPrinted>
  <dcterms:created xsi:type="dcterms:W3CDTF">2000-11-19T03:34:16Z</dcterms:created>
  <dcterms:modified xsi:type="dcterms:W3CDTF">2000-11-27T01:29:19Z</dcterms:modified>
  <cp:category/>
  <cp:version/>
  <cp:contentType/>
  <cp:contentStatus/>
</cp:coreProperties>
</file>